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WI/nu471NQAGpfAKIllCgsEQ+jm8+WQCszl2tF9AJIO7nNHLrCcS7VJ4zLjImiw4I27+hFcl8JvSeF0doa66iQ==" workbookSaltValue="xTbbiBSBYmJPL7H+dzkkH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G12"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B13" i="7"/>
  <c r="AB19" i="19"/>
  <c r="ER19" i="8"/>
  <c r="EQ19" i="8"/>
  <c r="BA13" i="16"/>
  <c r="AC17" i="11"/>
  <c r="G18" i="12"/>
  <c r="W19" i="13"/>
  <c r="Z19" i="8"/>
  <c r="AL13" i="16"/>
  <c r="S13" i="16"/>
  <c r="P13" i="16"/>
  <c r="AN13" i="20"/>
  <c r="Z13" i="17"/>
  <c r="M18" i="2"/>
  <c r="H13" i="12"/>
  <c r="T19" i="8"/>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D9" i="8"/>
  <c r="S15" i="17"/>
  <c r="E13" i="17"/>
  <c r="L15" i="2"/>
  <c r="X15" i="16"/>
  <c r="X18" i="16" s="1"/>
  <c r="V10" i="16"/>
  <c r="T13" i="20"/>
  <c r="T13" i="16"/>
  <c r="AP13" i="16"/>
  <c r="V9" i="16"/>
  <c r="T18" i="17"/>
  <c r="BG15" i="13"/>
  <c r="J20" i="20"/>
  <c r="AF20" i="20"/>
  <c r="M20" i="20"/>
  <c r="AG20" i="20"/>
  <c r="S20" i="20"/>
  <c r="K20" i="20"/>
  <c r="AM20" i="20"/>
  <c r="W20" i="21"/>
  <c r="Z20" i="20"/>
  <c r="AK20" i="20"/>
  <c r="F20" i="20"/>
  <c r="AR18" i="11" l="1"/>
  <c r="AN17" i="11"/>
  <c r="D18" i="12"/>
  <c r="I19" i="8"/>
  <c r="AJ19" i="8"/>
  <c r="E18" i="12"/>
  <c r="AH13" i="16"/>
  <c r="T13" i="12"/>
  <c r="BA13" i="8"/>
  <c r="AA19" i="8"/>
  <c r="D13" i="7"/>
  <c r="X12" i="21"/>
  <c r="BH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3" i="11" s="1"/>
  <c r="BK11" i="11"/>
  <c r="V11" i="11"/>
  <c r="BI10" i="11"/>
  <c r="Q10" i="21"/>
  <c r="S9" i="14"/>
  <c r="V9" i="14" s="1"/>
  <c r="BI15" i="11"/>
  <c r="BJ15" i="11"/>
  <c r="AO12" i="11"/>
  <c r="D17" i="6"/>
  <c r="BF12" i="8"/>
  <c r="AY13" i="8"/>
  <c r="BE9" i="8"/>
  <c r="I9" i="7" s="1"/>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I9"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<sst xmlns="http://schemas.openxmlformats.org/spreadsheetml/2006/main" count="2094" uniqueCount="914">
  <si>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</si>
  <si>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</si>
  <si>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</si>
  <si>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</si>
  <si>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</si>
  <si>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</si>
  <si>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</si>
  <si>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</si>
  <si>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</si>
  <si>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</si>
  <si>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</si>
  <si>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</si>
  <si>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</si>
  <si>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</si>
  <si>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</si>
  <si>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</si>
  <si>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</si>
  <si>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</si>
  <si>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</si>
  <si>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</si>
  <si>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</si>
  <si>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</si>
  <si>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</si>
  <si>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</si>
  <si>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</si>
  <si>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</si>
  <si>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</si>
  <si>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</si>
  <si>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</si>
  <si>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</si>
  <si>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</si>
  <si>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</si>
  <si>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</si>
  <si>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</si>
  <si>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</si>
  <si>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</si>
  <si>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</si>
  <si>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</si>
  <si>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</si>
  <si>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</si>
  <si>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</si>
  <si>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</si>
  <si>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</si>
  <si>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</si>
  <si>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</si>
  <si>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</si>
  <si>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</si>
  <si>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</si>
  <si>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</si>
  <si>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</si>
  <si>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</si>
  <si>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</si>
  <si>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</si>
  <si>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</si>
  <si>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</si>
  <si>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</si>
  <si>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</si>
  <si>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</si>
  <si>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</si>
  <si>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</si>
  <si>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</si>
  <si>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</si>
  <si>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</si>
  <si>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</si>
  <si>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</si>
  <si>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</si>
  <si>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</si>
  <si>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</si>
  <si>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</si>
  <si>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</si>
  <si>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</si>
  <si>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</si>
  <si>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</si>
  <si>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</si>
  <si>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</si>
  <si>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</si>
  <si>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</si>
  <si>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</si>
  <si>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</si>
  <si>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</si>
  <si>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</si>
  <si>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</si>
  <si>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</si>
  <si>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</si>
  <si>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</si>
  <si>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</si>
  <si>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</si>
  <si>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</si>
  <si>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</si>
  <si>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</si>
  <si>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</si>
  <si>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</si>
  <si>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</si>
  <si>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</si>
  <si>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</si>
  <si>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</si>
  <si>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</si>
  <si>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</si>
  <si>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</si>
  <si>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</si>
  <si>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</si>
  <si>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</si>
  <si>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</si>
  <si>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</si>
  <si>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</si>
  <si>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</si>
  <si>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</si>
  <si>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</si>
  <si>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</si>
  <si>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</si>
  <si>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</si>
  <si>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</si>
  <si>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</si>
  <si>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</si>
  <si>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</si>
  <si>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</si>
  <si>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</si>
  <si>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</si>
  <si>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</si>
  <si>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</si>
  <si>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</si>
  <si>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</si>
  <si>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</si>
  <si>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</si>
  <si>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</si>
  <si>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</si>
  <si>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</si>
  <si>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</si>
  <si>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</si>
  <si>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</si>
  <si>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</si>
  <si>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</si>
  <si>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</si>
  <si>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</si>
  <si>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</si>
  <si>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</si>
  <si>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</si>
  <si>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</si>
  <si>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</si>
  <si>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</si>
  <si>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</si>
  <si>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</si>
  <si>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</si>
  <si>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</si>
  <si>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</si>
  <si>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</si>
  <si>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</si>
  <si>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</si>
  <si>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</si>
  <si>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</si>
  <si>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</si>
  <si>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</si>
  <si>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</si>
  <si>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</si>
  <si>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</si>
  <si>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</si>
  <si>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</si>
  <si>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</si>
  <si>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</si>
  <si>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</si>
  <si>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</si>
  <si>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</si>
  <si>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</si>
  <si>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</si>
  <si>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</si>
  <si>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</si>
  <si>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</si>
  <si>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</si>
  <si>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</si>
  <si>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</si>
  <si>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</si>
  <si>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</si>
  <si>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</si>
  <si>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</si>
  <si>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</si>
  <si>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</si>
  <si>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</si>
  <si>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</si>
  <si>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</si>
  <si>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</si>
  <si>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</si>
  <si>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</si>
  <si>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</si>
  <si>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</si>
  <si>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</si>
  <si>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</si>
  <si>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</si>
  <si>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</si>
  <si>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</si>
  <si>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</si>
  <si>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</si>
  <si>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</si>
  <si>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</si>
  <si>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</si>
  <si>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</si>
  <si>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</si>
  <si>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</si>
  <si>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</si>
  <si>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</si>
  <si>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</si>
  <si>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</si>
  <si>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</si>
  <si>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</si>
  <si>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</si>
  <si>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</si>
  <si>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</si>
  <si>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</si>
  <si>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</si>
  <si>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</si>
  <si>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</si>
  <si>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</si>
  <si>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</si>
  <si>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</si>
  <si>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</si>
  <si>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</si>
  <si>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</si>
  <si>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</si>
  <si>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</si>
  <si>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</si>
  <si>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</si>
  <si>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</si>
  <si>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</si>
  <si>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</si>
  <si>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</si>
  <si>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</si>
  <si>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</si>
  <si>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</si>
  <si>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</si>
  <si>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</si>
  <si>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</si>
  <si>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</si>
  <si>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</si>
  <si>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</si>
  <si>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</si>
  <si>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</si>
  <si>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</si>
  <si>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</si>
  <si>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</si>
  <si>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</si>
  <si>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</si>
  <si>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</si>
  <si>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</si>
  <si>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</si>
  <si>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</si>
  <si>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</si>
  <si>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</si>
  <si>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</si>
  <si>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</si>
  <si>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</si>
  <si>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</si>
  <si>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</si>
  <si>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</si>
  <si>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</si>
  <si>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</si>
  <si>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</si>
  <si>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</si>
  <si>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</si>
  <si>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</si>
  <si>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</si>
  <si>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</si>
  <si>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</si>
  <si>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</si>
  <si>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</si>
  <si>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</si>
  <si>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</si>
  <si>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</si>
  <si>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</si>
  <si>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</si>
  <si>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</si>
  <si>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</si>
  <si>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</si>
  <si>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</si>
  <si>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</si>
  <si>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</si>
  <si>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</si>
  <si>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</si>
  <si>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</si>
  <si>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</si>
  <si>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</si>
  <si>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</si>
  <si>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</si>
  <si>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</si>
  <si>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</si>
  <si>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</si>
  <si>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</si>
  <si>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</si>
  <si>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</si>
  <si>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</si>
  <si>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</si>
  <si>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</si>
  <si>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</si>
  <si>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</si>
  <si>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</si>
  <si>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</si>
  <si>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</si>
  <si>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</si>
  <si>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</si>
  <si>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</si>
  <si>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</si>
  <si>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</si>
  <si>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</si>
  <si>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</si>
  <si>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</si>
  <si>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</si>
  <si>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</si>
  <si>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</si>
  <si>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</si>
  <si>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</si>
  <si>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</si>
  <si>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</si>
  <si>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</si>
  <si>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</si>
  <si>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</si>
  <si>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</si>
  <si>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</si>
  <si>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</si>
  <si>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</si>
  <si>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</si>
  <si>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</si>
  <si>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</si>
  <si>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</si>
  <si>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</si>
  <si>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</si>
  <si>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</si>
  <si>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</si>
  <si>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</si>
  <si>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</si>
  <si>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</si>
  <si>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</si>
  <si>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</si>
  <si>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</si>
  <si>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</si>
  <si>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</si>
  <si>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</si>
  <si>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</si>
  <si>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</si>
  <si>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</si>
  <si>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</si>
  <si>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</si>
  <si>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</si>
  <si>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</si>
  <si>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</si>
  <si>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</si>
  <si>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</si>
  <si>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</si>
  <si>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</si>
  <si>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</si>
  <si>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</si>
  <si>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</si>
  <si>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</si>
  <si>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</si>
  <si>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</si>
  <si>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</si>
  <si>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</si>
  <si>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</si>
  <si>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</si>
  <si>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</si>
  <si>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</si>
  <si>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</si>
  <si>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</si>
  <si>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</si>
  <si>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</si>
  <si>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</si>
  <si>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</si>
  <si>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</si>
  <si>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</si>
  <si>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</si>
  <si>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</si>
  <si>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</si>
  <si>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</si>
  <si>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</si>
  <si>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</si>
  <si>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</si>
  <si>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</si>
  <si>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</si>
  <si>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</si>
  <si>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</si>
  <si>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</si>
  <si>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</si>
  <si>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</si>
  <si>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</si>
  <si>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</si>
  <si>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</si>
  <si>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</si>
  <si>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</si>
  <si>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</si>
  <si>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</si>
  <si>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</si>
  <si>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</si>
  <si>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</si>
  <si>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</si>
  <si>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</si>
  <si>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</si>
  <si>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</si>
  <si>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</si>
  <si>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</si>
  <si>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</si>
  <si>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</si>
  <si>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</si>
  <si>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</si>
  <si>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</si>
  <si>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</si>
  <si>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</si>
  <si>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</si>
  <si>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</si>
  <si>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</si>
  <si>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</si>
  <si>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</si>
  <si>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</si>
  <si>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</si>
  <si>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</si>
  <si>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</si>
  <si>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</si>
  <si>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</si>
  <si>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</si>
  <si>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</si>
  <si>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</si>
  <si>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</si>
  <si>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</si>
  <si>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</si>
  <si>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</si>
  <si>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</si>
  <si>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</si>
  <si>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</si>
  <si>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</si>
  <si>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</si>
  <si>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</si>
  <si>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</si>
  <si>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</si>
  <si>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</si>
  <si>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</si>
  <si>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</si>
  <si>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</si>
  <si>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</si>
  <si>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</si>
  <si>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</si>
  <si>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</si>
  <si>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</si>
  <si>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</si>
  <si>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</si>
  <si>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</si>
  <si>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</si>
  <si>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</si>
  <si>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</si>
  <si>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</si>
  <si>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</si>
  <si>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</si>
  <si>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</si>
  <si>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</si>
  <si>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</si>
  <si>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</si>
  <si>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</si>
  <si>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</si>
  <si>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</si>
  <si>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</si>
  <si>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</si>
  <si>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</si>
  <si>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</si>
  <si>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</si>
  <si>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</si>
  <si>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</si>
  <si>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</si>
  <si>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</si>
  <si>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</si>
  <si>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</si>
  <si>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</si>
  <si>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</si>
  <si>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</si>
  <si>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</si>
  <si>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</si>
  <si>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</si>
  <si>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</si>
  <si>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</si>
  <si>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</si>
  <si>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</si>
  <si>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</si>
  <si>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</si>
  <si>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</si>
  <si>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</si>
  <si>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</si>
  <si>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</si>
  <si>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</si>
  <si>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</si>
  <si>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</si>
  <si>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</si>
  <si>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</si>
  <si>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</si>
  <si>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</si>
  <si>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</si>
  <si>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</si>
  <si>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</si>
  <si>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</si>
  <si>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</si>
  <si>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</si>
  <si>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</si>
  <si>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</si>
  <si>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</si>
  <si>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</si>
  <si>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</si>
  <si>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</si>
  <si>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</si>
  <si>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</si>
  <si>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</si>
  <si>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</si>
  <si>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</si>
  <si>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</si>
  <si>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</si>
  <si>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</si>
  <si>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</si>
  <si>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</si>
  <si>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</si>
  <si>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</si>
  <si>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</si>
  <si>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</si>
  <si>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</si>
  <si>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</si>
  <si>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</si>
  <si>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</si>
  <si>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</si>
  <si>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</si>
  <si>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</si>
  <si>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</si>
  <si>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</si>
  <si>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</si>
  <si>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</si>
  <si>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</si>
  <si>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</si>
  <si>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</si>
  <si>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</si>
  <si>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</si>
  <si>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</si>
  <si>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</si>
  <si>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</si>
  <si>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</si>
  <si>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</si>
  <si>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</si>
  <si>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</si>
  <si>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</si>
  <si>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</si>
  <si>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</si>
  <si>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</si>
  <si>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</si>
  <si>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</si>
  <si>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</si>
  <si>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</si>
  <si>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</si>
  <si>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</si>
  <si>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</si>
  <si>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</si>
  <si>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</si>
  <si>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</si>
  <si>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</si>
  <si>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</si>
  <si>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</si>
  <si>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</si>
  <si>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</si>
  <si>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</si>
  <si>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</si>
  <si>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</si>
  <si>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</si>
  <si>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</si>
  <si>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</si>
  <si>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</si>
  <si>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</si>
  <si>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</si>
  <si>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</si>
  <si>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</si>
  <si>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</si>
  <si>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</si>
  <si>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</si>
  <si>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</si>
  <si>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</si>
  <si>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</si>
  <si>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</si>
  <si>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</si>
  <si>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</si>
  <si>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</si>
  <si>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</si>
  <si>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</si>
  <si>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</si>
  <si>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</si>
  <si>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</si>
  <si>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</si>
  <si>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</si>
  <si>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</si>
  <si>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</si>
  <si>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</si>
  <si>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</si>
  <si>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</si>
  <si>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</si>
  <si>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</si>
  <si>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</si>
  <si>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</si>
  <si>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</si>
  <si>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</si>
  <si>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</si>
  <si>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</si>
  <si>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</si>
  <si>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</si>
  <si>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</si>
  <si>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</si>
  <si>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</si>
  <si>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</si>
  <si>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</si>
  <si>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</si>
  <si>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</si>
  <si>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</si>
  <si>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</si>
  <si>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</si>
  <si>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</si>
  <si>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</si>
  <si>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</si>
  <si>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</si>
  <si>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</si>
  <si>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</si>
  <si>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</si>
  <si>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</si>
  <si>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</si>
  <si>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</si>
  <si>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</si>
  <si>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</si>
  <si>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</si>
  <si>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</si>
  <si>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</si>
  <si>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</si>
  <si>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</si>
  <si>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</si>
  <si>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</si>
  <si>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</si>
  <si>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</si>
  <si>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</si>
  <si>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</si>
  <si>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</si>
  <si>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</si>
  <si>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</si>
  <si>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</si>
  <si>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</si>
  <si>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</si>
  <si>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</si>
  <si>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</si>
  <si>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</si>
  <si>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</si>
  <si>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</si>
  <si>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</si>
  <si>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</si>
  <si>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</si>
  <si>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</si>
  <si>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</si>
  <si>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</si>
  <si>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</si>
  <si>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</si>
  <si>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</si>
  <si>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</si>
  <si>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</si>
  <si>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</si>
  <si>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</si>
  <si>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</si>
  <si>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</si>
  <si>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</si>
  <si>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</si>
  <si>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</si>
  <si>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</si>
  <si>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</si>
  <si>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</si>
  <si>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</si>
  <si>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</si>
  <si>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</si>
  <si>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</si>
  <si>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</si>
  <si>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</si>
  <si>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</si>
  <si>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</si>
  <si>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</si>
  <si>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</si>
  <si>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</si>
  <si>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</si>
  <si>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</si>
  <si>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</si>
  <si>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</si>
  <si>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</si>
  <si>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</si>
  <si>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</si>
  <si>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</si>
  <si>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</si>
  <si>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</si>
  <si>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</si>
  <si>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</si>
  <si>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</si>
  <si>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</si>
  <si>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</si>
  <si>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</si>
  <si>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</si>
  <si>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</si>
  <si>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</si>
  <si>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</si>
  <si>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</si>
  <si>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</si>
  <si>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</si>
  <si>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</si>
  <si>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</si>
  <si>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</si>
  <si>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</si>
  <si>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</si>
  <si>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</si>
  <si>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</si>
  <si>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</si>
  <si>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</si>
  <si>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</si>
  <si>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</si>
  <si>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</si>
  <si>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</si>
  <si>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</si>
  <si>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</si>
  <si>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</si>
  <si>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</si>
  <si>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</si>
  <si>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</si>
  <si>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</si>
  <si>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</si>
  <si>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</si>
  <si>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</si>
  <si>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</si>
  <si>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</si>
  <si>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</si>
  <si>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</si>
  <si>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</si>
  <si>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</si>
  <si>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</si>
  <si>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</si>
  <si>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</si>
  <si>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</si>
  <si>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</si>
  <si>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</si>
  <si>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</si>
  <si>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</si>
  <si>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</si>
  <si>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</si>
  <si>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</si>
  <si>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</si>
  <si>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</si>
  <si>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</si>
  <si>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</si>
  <si>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</si>
  <si>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</si>
  <si>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</si>
  <si>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</si>
  <si>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</si>
  <si>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</si>
  <si>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</si>
  <si>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</si>
  <si>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</si>
  <si>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</si>
  <si>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</si>
  <si>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</si>
  <si>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</si>
  <si>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</si>
  <si>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</si>
  <si>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</si>
  <si>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</si>
  <si>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</si>
  <si>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</si>
  <si>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</si>
  <si>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</si>
  <si>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</si>
  <si>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</si>
  <si>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</si>
  <si>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</si>
  <si>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</si>
  <si>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</si>
  <si>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</si>
  <si>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</si>
  <si>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</si>
  <si>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</si>
  <si>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</si>
  <si>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</si>
  <si>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</si>
  <si>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</si>
  <si>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</si>
  <si>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</si>
  <si>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</si>
  <si>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</si>
  <si>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</si>
  <si>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</si>
  <si>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</si>
  <si>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</si>
  <si>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</si>
  <si>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</si>
  <si>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</si>
  <si>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</si>
  <si>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</si>
  <si>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</si>
  <si>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</si>
  <si>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</si>
  <si>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</si>
  <si>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</si>
  <si>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</si>
  <si>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</si>
  <si>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</si>
  <si>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</si>
  <si>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</si>
  <si>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</si>
  <si>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</si>
  <si>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</si>
  <si>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</si>
  <si>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</si>
  <si>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</si>
  <si>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</si>
  <si>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</si>
  <si>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</si>
  <si>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</si>
  <si>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</si>
  <si>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</si>
  <si>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</si>
  <si>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</si>
  <si>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</si>
  <si>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</si>
  <si>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</si>
  <si>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</si>
  <si>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</si>
  <si>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</si>
  <si>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</si>
  <si>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</si>
  <si>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</si>
  <si>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</si>
  <si>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</si>
  <si>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</si>
  <si>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</si>
  <si>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</si>
  <si>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</si>
  <si>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</si>
  <si>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</si>
  <si>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</si>
  <si>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</si>
  <si>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</si>
  <si>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</si>
  <si>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</si>
  <si>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</si>
  <si>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</si>
  <si>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</si>
  <si>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</si>
  <si>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</si>
  <si>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</si>
  <si>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</si>
  <si>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</si>
  <si>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</si>
  <si>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</si>
  <si>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</si>
  <si>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</si>
  <si>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</si>
  <si>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</si>
  <si>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</si>
  <si>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</si>
  <si>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</si>
  <si>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</si>
  <si>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</si>
  <si>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</si>
  <si>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</si>
  <si>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</si>
  <si>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</si>
  <si>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</si>
  <si>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</si>
  <si>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</si>
  <si>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</si>
  <si>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</si>
  <si>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</si>
  <si>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</si>
  <si>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</si>
  <si>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</si>
  <si>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</si>
  <si>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</si>
  <si>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</si>
  <si>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</si>
  <si>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</si>
  <si>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</si>
  <si>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</si>
  <si>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</si>
  <si>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</si>
  <si>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</si>
  <si>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</si>
  <si>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</si>
  <si>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</si>
  <si>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</si>
  <si>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</si>
  <si>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</si>
  <si>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</si>
  <si>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</si>
  <si>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</si>
  <si>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</si>
  <si>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</si>
  <si>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</si>
  <si>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</si>
  <si>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</si>
  <si>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</si>
  <si>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</si>
  <si>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</si>
  <si>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</si>
  <si>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</si>
  <si>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</si>
  <si>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</si>
  <si>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</si>
  <si>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</si>
  <si>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</si>
  <si>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</si>
  <si>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</si>
  <si>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</si>
  <si>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</si>
  <si>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</si>
  <si>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</si>
  <si>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</si>
  <si>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</si>
  <si>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</si>
  <si>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</si>
  <si>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</si>
  <si>
    <t>CAZORLA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</si>
</sst>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G9OYWRPeMxDGEOxDiEKY9DU7qoXE10ihrHp/cowj/VIjE/SaCQsZQAum/GbKZcQ27T1BL/qvXGBJa6P8UsofVA==" saltValue="jCoshn+tA1Ecsc1pMnqS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17</v>
      </c>
      <c r="E10" s="229">
        <f>IF(ISNUMBER(Datos!J10),Datos!J10," - ")</f>
        <v>15</v>
      </c>
      <c r="F10" s="229">
        <f>IF(ISNUMBER(Datos!K10),Datos!K10," - ")</f>
        <v>12</v>
      </c>
      <c r="G10" s="1037" t="str">
        <f>IF(Datos!E10&lt;&gt;"",Datos!E10,Datos!D10)</f>
        <v>37</v>
      </c>
      <c r="H10" s="230">
        <f>IF(ISNUMBER(Datos!L10),Datos!L10," - ")</f>
        <v>20</v>
      </c>
      <c r="I10" s="1047" t="str">
        <f>IF(ISNUMBER(Datos!AS10/Datos!BM10),Datos!AS10/Datos!BM10," - ")</f>
        <v xml:space="preserve"> - </v>
      </c>
      <c r="J10" s="1048">
        <f>IF(ISNUMBER(Datos!BY10/Datos!CN10),Datos!BY10/Datos!CN10," - ")</f>
        <v>0</v>
      </c>
      <c r="K10" s="233">
        <f t="shared" ref="K10:K12" si="1">IF(ISNUMBER((E10-F10)/C10),(E10-F10)/C10," - ")</f>
        <v>0.17647058823529413</v>
      </c>
      <c r="L10" s="1028">
        <f>IF(ISNUMBER(NºAsuntos!I10/NºAsuntos!G10),(NºAsuntos!I10/NºAsuntos!G10)*11," - ")</f>
        <v>18.333333333333336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17</v>
      </c>
      <c r="E13" s="1053">
        <f>SUBTOTAL(9,E9:E12)</f>
        <v>15</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240</v>
      </c>
      <c r="D16" s="228">
        <f>IF(ISNUMBER(IF(D_I="SI",Datos!I16,Datos!I16+Datos!AC16)),IF(D_I="SI",Datos!I16,Datos!I16+Datos!AC16)," - ")</f>
        <v>235</v>
      </c>
      <c r="E16" s="229">
        <f>IF(ISNUMBER(IF(D_I="SI",Datos!J16,Datos!J16+Datos!AD16)),IF(D_I="SI",Datos!J16,Datos!J16+Datos!AD16)," - ")</f>
        <v>1839</v>
      </c>
      <c r="F16" s="229">
        <f>IF(ISNUMBER(IF(D_I="SI",Datos!K16,Datos!K16+Datos!AE16)),IF(D_I="SI",Datos!K16,Datos!K16+Datos!AE16)," - ")</f>
        <v>1749</v>
      </c>
      <c r="G16" s="1037" t="str">
        <f>IF(Datos!E16&lt;&gt;"",Datos!E16,Datos!D16)</f>
        <v>04</v>
      </c>
      <c r="H16" s="230">
        <f>IF(ISNUMBER(IF(D_I="SI",Datos!L16,Datos!L16+Datos!AF16)),IF(D_I="SI",Datos!L16,Datos!L16+Datos!AF16)," - ")</f>
        <v>330</v>
      </c>
      <c r="I16" s="1047" t="str">
        <f>IF(ISNUMBER(Datos!AS16/Datos!BM16),Datos!AS16/Datos!BM16," - ")</f>
        <v xml:space="preserve"> - </v>
      </c>
      <c r="J16" s="1048">
        <f>IF(ISNUMBER(Datos!BY16/Datos!CN16),Datos!BY16/Datos!CN16," - ")</f>
        <v>0</v>
      </c>
      <c r="K16" s="233">
        <f t="shared" si="3"/>
        <v>0.375</v>
      </c>
      <c r="L16" s="1028">
        <f>IF(ISNUMBER(NºAsuntos!I16/NºAsuntos!G16),(NºAsuntos!I16/NºAsuntos!G16)*11," - ")</f>
        <v>2.0754716981132075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v>
      </c>
      <c r="D17" s="228">
        <f>IF(ISNUMBER(IF(D_I="SI",Datos!I17,Datos!I17+Datos!AC17)),IF(D_I="SI",Datos!I17,Datos!I17+Datos!AC17)," - ")</f>
        <v>25</v>
      </c>
      <c r="E17" s="229">
        <f>IF(ISNUMBER(IF(D_I="SI",Datos!J17,Datos!J17+Datos!AD17)),IF(D_I="SI",Datos!J17,Datos!J17+Datos!AD17)," - ")</f>
        <v>156</v>
      </c>
      <c r="F17" s="229">
        <f>IF(ISNUMBER(IF(D_I="SI",Datos!K17,Datos!K17+Datos!AE17)),IF(D_I="SI",Datos!K17,Datos!K17+Datos!AE17)," - ")</f>
        <v>147</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0.36</v>
      </c>
      <c r="L17" s="1028">
        <f>IF(ISNUMBER(NºAsuntos!I17/NºAsuntos!G17),(NºAsuntos!I17/NºAsuntos!G17)*11," - ")</f>
        <v>2.5442176870748301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265</v>
      </c>
      <c r="D18" s="1052">
        <f>SUBTOTAL(9,D15:D17)</f>
        <v>260</v>
      </c>
      <c r="E18" s="1053">
        <f>SUBTOTAL(9,E15:E17)</f>
        <v>1995</v>
      </c>
      <c r="F18" s="1053">
        <f>SUBTOTAL(9,F15:F17)</f>
        <v>1896</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282</v>
      </c>
      <c r="D19" s="1074">
        <f>SUBTOTAL(9,D9:D18)</f>
        <v>277</v>
      </c>
      <c r="E19" s="1075">
        <f>SUBTOTAL(9,E9:E18)</f>
        <v>2010</v>
      </c>
      <c r="F19" s="1075">
        <f>SUBTOTAL(9,F9:F18)</f>
        <v>1908</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PxiGgztogOiT7Np3wmBRnsA+bivjDtmHIewk3hfnfXB/Q7rzdy3PpdJMXH/JtwOl1bHKfWviio8/AtVaeqYaKw==" saltValue="9uvR4SjCCHPgN3jojQFtI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R/aI04xgoodNy/Pr8LBCekRAlNZ1VPFrTolHR1sRV4b7zL6gBXllmIQqoioOpMxDWo+4MgM2uuTmS3VuBDctQ==" saltValue="WSzzmrcJkOQctd0pG/EM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17</v>
      </c>
      <c r="J10" s="184">
        <v>15</v>
      </c>
      <c r="K10" s="184">
        <v>12</v>
      </c>
      <c r="L10" s="184">
        <v>20</v>
      </c>
      <c r="M10" s="184">
        <v>9</v>
      </c>
      <c r="N10" s="184">
        <v>4</v>
      </c>
      <c r="O10" s="184">
        <v>3</v>
      </c>
      <c r="P10" s="184">
        <v>2</v>
      </c>
      <c r="Q10" s="184">
        <v>5</v>
      </c>
      <c r="R10" s="184">
        <v>2</v>
      </c>
      <c r="S10" s="184">
        <v>12</v>
      </c>
      <c r="T10" s="184">
        <v>19</v>
      </c>
      <c r="U10" s="184">
        <v>14</v>
      </c>
      <c r="V10" s="184">
        <v>17</v>
      </c>
      <c r="W10" s="184">
        <v>8</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12</v>
      </c>
      <c r="AZ10" s="129">
        <f t="shared" si="0"/>
        <v>19</v>
      </c>
      <c r="BA10" s="129">
        <f t="shared" si="0"/>
        <v>14</v>
      </c>
      <c r="BB10" s="129">
        <f t="shared" si="0"/>
        <v>17</v>
      </c>
      <c r="BC10" s="125">
        <f t="shared" si="0"/>
        <v>8</v>
      </c>
      <c r="BD10" s="126">
        <f>IF(ISNUMBER(BA10/AZ10),BA10/AZ10," - ")</f>
        <v>0.73684210526315785</v>
      </c>
      <c r="BE10" s="127">
        <f>IF(ISNUMBER(BB10/BA10),BB10/BA10, " - ")</f>
        <v>1.2142857142857142</v>
      </c>
      <c r="BF10" s="127">
        <f>IF(ISNUMBER(BC10/BA10),BC10/BA10, " - ")</f>
        <v>0.5714285714285714</v>
      </c>
      <c r="BG10" s="199">
        <f>IF(ISNUMBER((AY10+AZ10)/BA10),(AY10+AZ10)/BA10," - ")</f>
        <v>2.2142857142857144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484</v>
      </c>
      <c r="J12" s="186">
        <v>979</v>
      </c>
      <c r="K12" s="186">
        <v>947</v>
      </c>
      <c r="L12" s="186">
        <v>511</v>
      </c>
      <c r="M12" s="186">
        <v>239</v>
      </c>
      <c r="N12" s="186">
        <v>398</v>
      </c>
      <c r="O12" s="184">
        <v>688</v>
      </c>
      <c r="P12" s="186">
        <v>318</v>
      </c>
      <c r="Q12" s="186">
        <v>269</v>
      </c>
      <c r="R12" s="186">
        <v>471</v>
      </c>
      <c r="S12" s="186">
        <v>481</v>
      </c>
      <c r="T12" s="186">
        <v>929</v>
      </c>
      <c r="U12" s="186">
        <v>935</v>
      </c>
      <c r="V12" s="186">
        <v>484</v>
      </c>
      <c r="W12" s="186">
        <v>242</v>
      </c>
      <c r="X12" s="192">
        <v>347</v>
      </c>
      <c r="Y12" s="194">
        <v>34</v>
      </c>
      <c r="Z12" s="184">
        <v>143</v>
      </c>
      <c r="AA12" s="184">
        <v>143</v>
      </c>
      <c r="AB12" s="184">
        <v>34</v>
      </c>
      <c r="AC12" s="186">
        <v>0</v>
      </c>
      <c r="AD12" s="186">
        <v>0</v>
      </c>
      <c r="AE12" s="186">
        <v>0</v>
      </c>
      <c r="AF12" s="192">
        <v>0</v>
      </c>
      <c r="AG12" s="205">
        <v>42</v>
      </c>
      <c r="AH12" s="186">
        <v>179</v>
      </c>
      <c r="AI12" s="186">
        <v>185</v>
      </c>
      <c r="AJ12" s="206">
        <v>34</v>
      </c>
      <c r="AK12" s="185">
        <v>0</v>
      </c>
      <c r="AL12" s="186">
        <v>0</v>
      </c>
      <c r="AM12" s="186">
        <v>0</v>
      </c>
      <c r="AN12" s="192">
        <v>0</v>
      </c>
      <c r="AO12" s="262">
        <v>2</v>
      </c>
      <c r="AP12" s="158">
        <v>2</v>
      </c>
      <c r="AQ12" s="158">
        <v>2</v>
      </c>
      <c r="AR12" s="157">
        <v>2</v>
      </c>
      <c r="AS12" s="343" t="s">
        <v>803</v>
      </c>
      <c r="AT12" s="206"/>
      <c r="AU12" s="205"/>
      <c r="AV12" s="206"/>
      <c r="AW12" s="205"/>
      <c r="AX12" s="206"/>
      <c r="AY12" s="126">
        <f t="shared" si="1"/>
        <v>523</v>
      </c>
      <c r="AZ12" s="127">
        <f t="shared" si="1"/>
        <v>1108</v>
      </c>
      <c r="BA12" s="127">
        <f t="shared" si="1"/>
        <v>1120</v>
      </c>
      <c r="BB12" s="127">
        <f t="shared" si="1"/>
        <v>518</v>
      </c>
      <c r="BC12" s="125">
        <f>IF(ISNUMBER(X12),X12," - ")</f>
        <v>347</v>
      </c>
      <c r="BD12" s="126">
        <f t="shared" si="2"/>
        <v>1.0108303249097472</v>
      </c>
      <c r="BE12" s="127">
        <f t="shared" si="3"/>
        <v>0.46250000000000002</v>
      </c>
      <c r="BF12" s="127">
        <f t="shared" si="4"/>
        <v>0.30982142857142858</v>
      </c>
      <c r="BG12" s="199">
        <f t="shared" si="5"/>
        <v>1.45625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501</v>
      </c>
      <c r="J13" s="187">
        <f t="shared" si="6"/>
        <v>994</v>
      </c>
      <c r="K13" s="187">
        <f t="shared" si="6"/>
        <v>959</v>
      </c>
      <c r="L13" s="187">
        <f t="shared" si="6"/>
        <v>531</v>
      </c>
      <c r="M13" s="187">
        <f t="shared" si="6"/>
        <v>248</v>
      </c>
      <c r="N13" s="187">
        <f t="shared" si="6"/>
        <v>402</v>
      </c>
      <c r="O13" s="187">
        <f t="shared" si="6"/>
        <v>691</v>
      </c>
      <c r="P13" s="187">
        <f t="shared" si="6"/>
        <v>320</v>
      </c>
      <c r="Q13" s="187">
        <f t="shared" si="6"/>
        <v>274</v>
      </c>
      <c r="R13" s="187">
        <f t="shared" si="6"/>
        <v>473</v>
      </c>
      <c r="S13" s="187">
        <f t="shared" si="6"/>
        <v>493</v>
      </c>
      <c r="T13" s="187">
        <f t="shared" si="6"/>
        <v>948</v>
      </c>
      <c r="U13" s="187">
        <f t="shared" si="6"/>
        <v>949</v>
      </c>
      <c r="V13" s="187">
        <f t="shared" si="6"/>
        <v>501</v>
      </c>
      <c r="W13" s="187">
        <f t="shared" si="6"/>
        <v>250</v>
      </c>
      <c r="X13" s="187">
        <f t="shared" si="6"/>
        <v>347</v>
      </c>
      <c r="Y13" s="187">
        <f t="shared" si="6"/>
        <v>34</v>
      </c>
      <c r="Z13" s="187">
        <f t="shared" si="6"/>
        <v>143</v>
      </c>
      <c r="AA13" s="187">
        <f t="shared" si="6"/>
        <v>143</v>
      </c>
      <c r="AB13" s="187">
        <f t="shared" si="6"/>
        <v>34</v>
      </c>
      <c r="AC13" s="187">
        <f t="shared" si="6"/>
        <v>0</v>
      </c>
      <c r="AD13" s="187">
        <f t="shared" si="6"/>
        <v>0</v>
      </c>
      <c r="AE13" s="187">
        <f t="shared" si="6"/>
        <v>0</v>
      </c>
      <c r="AF13" s="187">
        <f>SUBTOTAL(9,AF9:AF12)</f>
        <v>0</v>
      </c>
      <c r="AG13" s="187">
        <f t="shared" ref="AG13:AT13" si="7">SUBTOTAL(9,AG8:AG12)</f>
        <v>42</v>
      </c>
      <c r="AH13" s="187">
        <f t="shared" si="7"/>
        <v>179</v>
      </c>
      <c r="AI13" s="187">
        <f t="shared" si="7"/>
        <v>185</v>
      </c>
      <c r="AJ13" s="187">
        <f t="shared" si="7"/>
        <v>34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535</v>
      </c>
      <c r="AZ13" s="187">
        <f>SUBTOTAL(9,AZ8:AZ12)</f>
        <v>1127</v>
      </c>
      <c r="BA13" s="187">
        <f>SUBTOTAL(9,BA8:BA12)</f>
        <v>1134</v>
      </c>
      <c r="BB13" s="187">
        <f>SUBTOTAL(9,BB8:BB12)</f>
        <v>535</v>
      </c>
      <c r="BC13" s="187">
        <f>SUBTOTAL(9,BC8:BC12)</f>
        <v>355</v>
      </c>
      <c r="BD13" s="208">
        <f>IF(ISNUMBER(BA13/AZ13),BA13/AZ13," - ")</f>
        <v>1.0062111801242235</v>
      </c>
      <c r="BE13" s="209">
        <f>IF(ISNUMBER(BB13/BA13),BB13/BA13, " - ")</f>
        <v>0.47178130511463845</v>
      </c>
      <c r="BF13" s="209">
        <f>IF(ISNUMBER(BC13/BA13),BC13/BA13, " - ")</f>
        <v>0.31305114638447973</v>
      </c>
      <c r="BG13" s="210">
        <f>IF(ISNUMBER((AY13+AZ13)/BA13),(AY13+AZ13)/BA13," - ")</f>
        <v>1.4656084656084656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235</v>
      </c>
      <c r="J16" s="186">
        <v>1839</v>
      </c>
      <c r="K16" s="186">
        <v>1749</v>
      </c>
      <c r="L16" s="186">
        <v>330</v>
      </c>
      <c r="M16" s="186">
        <v>139</v>
      </c>
      <c r="N16" s="186">
        <v>1250</v>
      </c>
      <c r="O16" s="184">
        <v>32</v>
      </c>
      <c r="P16" s="186">
        <v>60</v>
      </c>
      <c r="Q16" s="186">
        <v>51</v>
      </c>
      <c r="R16" s="186">
        <v>75</v>
      </c>
      <c r="S16" s="186">
        <v>245</v>
      </c>
      <c r="T16" s="186">
        <v>1510</v>
      </c>
      <c r="U16" s="186">
        <v>1550</v>
      </c>
      <c r="V16" s="186">
        <v>235</v>
      </c>
      <c r="W16" s="186">
        <v>160</v>
      </c>
      <c r="X16" s="192">
        <v>1089</v>
      </c>
      <c r="Y16" s="205">
        <v>0</v>
      </c>
      <c r="Z16" s="186">
        <v>0</v>
      </c>
      <c r="AA16" s="186">
        <v>0</v>
      </c>
      <c r="AB16" s="186">
        <v>0</v>
      </c>
      <c r="AC16" s="186">
        <v>0</v>
      </c>
      <c r="AD16" s="186">
        <v>0</v>
      </c>
      <c r="AE16" s="186">
        <v>0</v>
      </c>
      <c r="AF16" s="192">
        <v>0</v>
      </c>
      <c r="AG16" s="205">
        <v>0</v>
      </c>
      <c r="AH16" s="186">
        <v>0</v>
      </c>
      <c r="AI16" s="186">
        <v>0</v>
      </c>
      <c r="AJ16" s="206">
        <v>0</v>
      </c>
      <c r="AK16" s="185">
        <v>0</v>
      </c>
      <c r="AL16" s="186">
        <v>28</v>
      </c>
      <c r="AM16" s="186">
        <v>28</v>
      </c>
      <c r="AN16" s="192">
        <v>0</v>
      </c>
      <c r="AO16" s="262">
        <v>2</v>
      </c>
      <c r="AP16" s="158">
        <v>2</v>
      </c>
      <c r="AQ16" s="158">
        <v>2</v>
      </c>
      <c r="AR16" s="158">
        <v>2</v>
      </c>
      <c r="AS16" s="343" t="s">
        <v>487</v>
      </c>
      <c r="AT16" s="206"/>
      <c r="AU16" s="205"/>
      <c r="AV16" s="206"/>
      <c r="AW16" s="205"/>
      <c r="AX16" s="206"/>
      <c r="AY16" s="126">
        <f t="shared" si="9"/>
        <v>245</v>
      </c>
      <c r="AZ16" s="127">
        <f t="shared" si="9"/>
        <v>1510</v>
      </c>
      <c r="BA16" s="127">
        <f t="shared" si="9"/>
        <v>1550</v>
      </c>
      <c r="BB16" s="127">
        <f t="shared" si="9"/>
        <v>235</v>
      </c>
      <c r="BC16" s="125">
        <f>IF(ISNUMBER(W16),W16," - ")</f>
        <v>160</v>
      </c>
      <c r="BD16" s="126">
        <f t="shared" ref="BD16" si="11">IF(ISNUMBER(BA16/AZ16),BA16/AZ16," - ")</f>
        <v>1.0264900662251655</v>
      </c>
      <c r="BE16" s="127">
        <f t="shared" ref="BE16" si="12">IF(ISNUMBER(BB16/BA16),BB16/BA16, " - ")</f>
        <v>0.15161290322580645</v>
      </c>
      <c r="BF16" s="127">
        <f t="shared" ref="BF16" si="13">IF(ISNUMBER(BC16/BA16),BC16/BA16, " - ")</f>
        <v>0.1032258064516129</v>
      </c>
      <c r="BG16" s="199">
        <f t="shared" si="10"/>
        <v>1.1322580645161291</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25</v>
      </c>
      <c r="J17" s="186">
        <v>156</v>
      </c>
      <c r="K17" s="186">
        <v>147</v>
      </c>
      <c r="L17" s="186">
        <v>34</v>
      </c>
      <c r="M17" s="186">
        <v>31</v>
      </c>
      <c r="N17" s="186">
        <v>72</v>
      </c>
      <c r="O17" s="186">
        <v>0</v>
      </c>
      <c r="P17" s="186">
        <v>0</v>
      </c>
      <c r="Q17" s="186">
        <v>0</v>
      </c>
      <c r="R17" s="186">
        <v>0</v>
      </c>
      <c r="S17" s="186">
        <v>32</v>
      </c>
      <c r="T17" s="186">
        <v>87</v>
      </c>
      <c r="U17" s="186">
        <v>94</v>
      </c>
      <c r="V17" s="186">
        <v>25</v>
      </c>
      <c r="W17" s="186">
        <v>22</v>
      </c>
      <c r="X17" s="192">
        <v>45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32</v>
      </c>
      <c r="AZ17" s="129">
        <f t="shared" si="14"/>
        <v>87</v>
      </c>
      <c r="BA17" s="129">
        <f t="shared" si="14"/>
        <v>94</v>
      </c>
      <c r="BB17" s="129">
        <f t="shared" si="14"/>
        <v>25</v>
      </c>
      <c r="BC17" s="125">
        <f>IF(ISNUMBER(W17),W17," - ")</f>
        <v>22</v>
      </c>
      <c r="BD17" s="126">
        <f>IF(ISNUMBER(BA17/AZ17),BA17/AZ17," - ")</f>
        <v>1.0804597701149425</v>
      </c>
      <c r="BE17" s="127">
        <f>IF(ISNUMBER(BB17/BA17),BB17/BA17, " - ")</f>
        <v>0.26595744680851063</v>
      </c>
      <c r="BF17" s="127">
        <f>IF(ISNUMBER(BC17/BA17),BC17/BA17, " - ")</f>
        <v>0.23404255319148937</v>
      </c>
      <c r="BG17" s="199">
        <f>IF(ISNUMBER((AY17+AZ17)/BA17),(AY17+AZ17)/BA17," - ")</f>
        <v>1.2659574468085106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260</v>
      </c>
      <c r="J18" s="187">
        <f t="shared" si="15"/>
        <v>1995</v>
      </c>
      <c r="K18" s="187">
        <f t="shared" si="15"/>
        <v>1896</v>
      </c>
      <c r="L18" s="187">
        <f t="shared" si="15"/>
        <v>364</v>
      </c>
      <c r="M18" s="187">
        <f t="shared" si="15"/>
        <v>170</v>
      </c>
      <c r="N18" s="187">
        <f t="shared" si="15"/>
        <v>1322</v>
      </c>
      <c r="O18" s="187">
        <f t="shared" si="15"/>
        <v>32</v>
      </c>
      <c r="P18" s="187">
        <f t="shared" si="15"/>
        <v>60</v>
      </c>
      <c r="Q18" s="187">
        <f t="shared" si="15"/>
        <v>51</v>
      </c>
      <c r="R18" s="187">
        <f t="shared" si="15"/>
        <v>75</v>
      </c>
      <c r="S18" s="187">
        <f t="shared" si="15"/>
        <v>277</v>
      </c>
      <c r="T18" s="187">
        <f t="shared" si="15"/>
        <v>1597</v>
      </c>
      <c r="U18" s="187">
        <f t="shared" si="15"/>
        <v>1644</v>
      </c>
      <c r="V18" s="187">
        <f t="shared" si="15"/>
        <v>260</v>
      </c>
      <c r="W18" s="187">
        <f t="shared" si="15"/>
        <v>182</v>
      </c>
      <c r="X18" s="187">
        <f t="shared" si="15"/>
        <v>1134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28</v>
      </c>
      <c r="AM18" s="187">
        <f t="shared" si="15"/>
        <v>28</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277</v>
      </c>
      <c r="AZ18" s="187">
        <f>SUBTOTAL(9,AZ14:AZ17)</f>
        <v>1597</v>
      </c>
      <c r="BA18" s="187">
        <f>SUBTOTAL(9,BA14:BA17)</f>
        <v>1644</v>
      </c>
      <c r="BB18" s="187">
        <f>SUBTOTAL(9,BB14:BB17)</f>
        <v>260</v>
      </c>
      <c r="BC18" s="187">
        <f>SUBTOTAL(9,BC14:BC17)</f>
        <v>182</v>
      </c>
      <c r="BD18" s="208">
        <f>IF(ISNUMBER(BA18/AZ18),BA18/AZ18," - ")</f>
        <v>1.0294301815904821</v>
      </c>
      <c r="BE18" s="209">
        <f>IF(ISNUMBER(BB18/BA18),BB18/BA18, " - ")</f>
        <v>0.15815085158150852</v>
      </c>
      <c r="BF18" s="209">
        <f>IF(ISNUMBER(BC18/BA18),BC18/BA18, " - ")</f>
        <v>0.11070559610705596</v>
      </c>
      <c r="BG18" s="210">
        <f>IF(ISNUMBER((AY18+AZ18)/BA18),(AY18+AZ18)/BA18," - ")</f>
        <v>1.1399026763990268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761</v>
      </c>
      <c r="J19" s="134">
        <f t="shared" si="18"/>
        <v>2989</v>
      </c>
      <c r="K19" s="134">
        <f t="shared" si="18"/>
        <v>2855</v>
      </c>
      <c r="L19" s="134">
        <f t="shared" si="18"/>
        <v>895</v>
      </c>
      <c r="M19" s="134">
        <f t="shared" si="18"/>
        <v>418</v>
      </c>
      <c r="N19" s="134">
        <f t="shared" si="18"/>
        <v>1724</v>
      </c>
      <c r="O19" s="134">
        <f t="shared" si="18"/>
        <v>723</v>
      </c>
      <c r="P19" s="134">
        <f t="shared" si="18"/>
        <v>380</v>
      </c>
      <c r="Q19" s="134">
        <f t="shared" si="18"/>
        <v>325</v>
      </c>
      <c r="R19" s="134">
        <f t="shared" si="18"/>
        <v>548</v>
      </c>
      <c r="S19" s="134">
        <f t="shared" si="18"/>
        <v>770</v>
      </c>
      <c r="T19" s="134">
        <f t="shared" si="18"/>
        <v>2545</v>
      </c>
      <c r="U19" s="134">
        <f t="shared" si="18"/>
        <v>2593</v>
      </c>
      <c r="V19" s="134">
        <f t="shared" si="18"/>
        <v>761</v>
      </c>
      <c r="W19" s="134">
        <f t="shared" si="18"/>
        <v>432</v>
      </c>
      <c r="X19" s="134">
        <f t="shared" si="18"/>
        <v>1481</v>
      </c>
      <c r="Y19" s="134">
        <f t="shared" si="18"/>
        <v>34</v>
      </c>
      <c r="Z19" s="134">
        <f t="shared" si="18"/>
        <v>143</v>
      </c>
      <c r="AA19" s="134">
        <f t="shared" si="18"/>
        <v>143</v>
      </c>
      <c r="AB19" s="134">
        <f t="shared" si="18"/>
        <v>34</v>
      </c>
      <c r="AC19" s="134">
        <f t="shared" si="18"/>
        <v>0</v>
      </c>
      <c r="AD19" s="134">
        <f t="shared" si="18"/>
        <v>0</v>
      </c>
      <c r="AE19" s="134">
        <f t="shared" si="18"/>
        <v>0</v>
      </c>
      <c r="AF19" s="134">
        <f t="shared" si="18"/>
        <v>0</v>
      </c>
      <c r="AG19" s="134">
        <f t="shared" si="18"/>
        <v>42</v>
      </c>
      <c r="AH19" s="134">
        <f t="shared" si="18"/>
        <v>179</v>
      </c>
      <c r="AI19" s="134">
        <f t="shared" si="18"/>
        <v>185</v>
      </c>
      <c r="AJ19" s="134">
        <f t="shared" si="18"/>
        <v>34</v>
      </c>
      <c r="AK19" s="134">
        <f t="shared" si="18"/>
        <v>0</v>
      </c>
      <c r="AL19" s="134">
        <f t="shared" si="18"/>
        <v>28</v>
      </c>
      <c r="AM19" s="134">
        <f t="shared" si="18"/>
        <v>28</v>
      </c>
      <c r="AN19" s="213">
        <f t="shared" si="18"/>
        <v>0</v>
      </c>
      <c r="AO19" s="214">
        <v>3</v>
      </c>
      <c r="AP19" s="214">
        <v>2</v>
      </c>
      <c r="AQ19" s="214">
        <v>2</v>
      </c>
      <c r="AR19" s="214">
        <v>2</v>
      </c>
      <c r="AS19" s="156">
        <f t="shared" si="18"/>
        <v>0</v>
      </c>
      <c r="AT19" s="156">
        <f t="shared" si="18"/>
        <v>0</v>
      </c>
      <c r="AU19" s="214"/>
      <c r="AV19" s="215"/>
      <c r="AW19" s="214"/>
      <c r="AX19" s="215"/>
      <c r="AY19" s="133">
        <f>SUBTOTAL(9,AY9:AY18)</f>
        <v>812</v>
      </c>
      <c r="AZ19" s="134">
        <f>SUBTOTAL(9,AZ9:AZ18)</f>
        <v>2724</v>
      </c>
      <c r="BA19" s="134">
        <f>SUBTOTAL(9,BA9:BA18)</f>
        <v>2778</v>
      </c>
      <c r="BB19" s="134">
        <f>SUBTOTAL(9,BB9:BB18)</f>
        <v>795</v>
      </c>
      <c r="BC19" s="135">
        <f>SUBTOTAL(9,BC9:BC18)</f>
        <v>537</v>
      </c>
      <c r="BD19" s="216">
        <f>IF(ISNUMBER(BA19/AZ19),BA19/AZ19," - ")</f>
        <v>1.0198237885462555</v>
      </c>
      <c r="BE19" s="213">
        <f>IF(ISNUMBER(BB19/BA19),BB19/BA19, " - ")</f>
        <v>0.2861771058315335</v>
      </c>
      <c r="BF19" s="213">
        <f>IF(ISNUMBER(BC19/BA19),BC19/BA19, " - ")</f>
        <v>0.19330453563714903</v>
      </c>
      <c r="BG19" s="135">
        <f>IF(ISNUMBER((AY19+AZ19)/BA19),(AY19+AZ19)/BA19," - ")</f>
        <v>1.2728581713462923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R/qXj1TzImVUWeJ8zKYSW+m+H5WsXuwqLvSEp0+IRfHhSRSUutlMI/PsvwlbCf/4uTo5i7JTlBVgCN57dT9Sw==" saltValue="LphhXwNDOpbjW5Wqut9Bd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L05mb8qZOXr3pck+iYP3r1DhOYIY+xv6VCl8NCp6y8tEdZIoJvtX4VQC4PZXQFuCnGE+lqVw2fG7ADByoCERw==" saltValue="ZvO8R6RKkdgiEFIlh58t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CAZORLA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17</v>
      </c>
      <c r="G10" s="336">
        <f>IF(ISNUMBER(Datos!I10),Datos!I10," - ")</f>
        <v>17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5</v>
      </c>
      <c r="AD10" s="337"/>
      <c r="AE10" s="487"/>
      <c r="AF10" s="335">
        <f>IF(ISNUMBER(Datos!L10),Datos!L10,"-")</f>
        <v>20</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4</v>
      </c>
      <c r="BE10" s="232" t="str">
        <f>IF(ISNUMBER(Datos!BW10),Datos!BW10," - ")</f>
        <v xml:space="preserve"> - </v>
      </c>
      <c r="BF10" s="231" t="str">
        <f>IF(ISNUMBER(Datos!BX10),Datos!BX10," - ")</f>
        <v xml:space="preserve"> - </v>
      </c>
      <c r="BG10" s="246">
        <f>IF(ISNUMBER(Datos!K10/Datos!J10),Datos!K10/Datos!J10," - ")</f>
        <v>0.8</v>
      </c>
      <c r="BH10" s="263">
        <f>IF(ISNUMBER(((Datos!L10/Datos!K10)*11)/factor_trimestre),((Datos!L10/Datos!K10)*11)/factor_trimestre," - ")</f>
        <v>18.333333333333336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143</v>
      </c>
      <c r="O12" s="337"/>
      <c r="P12" s="337"/>
      <c r="Q12" s="229">
        <f>IF(ISNUMBER(Datos!P12),Datos!P12,0)</f>
        <v>318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269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471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239</v>
      </c>
      <c r="BD12" s="232">
        <f>IF(ISNUMBER(Datos!N12),Datos!N12," - ")</f>
        <v>398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0.97147950089126556</v>
      </c>
      <c r="BH12" s="263">
        <f>IF(ISNUMBER(((IF(J_V="SI",Datos!L12/Datos!K12,(Datos!L12+Datos!AB12)/(Datos!K12+Datos!AA12)))*11)/factor_trimestre),((IF(J_V="SI",Datos!L12/Datos!K12,(Datos!L12+Datos!AB12)/(Datos!K12+Datos!AA12)))*11)/factor_trimestre," - ")</f>
        <v>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0.11611374407582939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17</v>
      </c>
      <c r="G13" s="901">
        <f t="shared" si="0"/>
        <v>17</v>
      </c>
      <c r="H13" s="902">
        <f t="shared" si="0"/>
        <v>0</v>
      </c>
      <c r="I13" s="901">
        <f t="shared" si="0"/>
        <v>0</v>
      </c>
      <c r="J13" s="870">
        <f t="shared" si="0"/>
        <v>0</v>
      </c>
      <c r="K13" s="870">
        <f t="shared" si="0"/>
        <v>0</v>
      </c>
      <c r="L13" s="902">
        <f t="shared" si="0"/>
        <v>0</v>
      </c>
      <c r="M13" s="902">
        <f t="shared" si="0"/>
        <v>0</v>
      </c>
      <c r="N13" s="902">
        <f t="shared" si="0"/>
        <v>143</v>
      </c>
      <c r="O13" s="903">
        <f t="shared" si="0"/>
        <v>0</v>
      </c>
      <c r="P13" s="903">
        <f t="shared" si="0"/>
        <v>0</v>
      </c>
      <c r="Q13" s="902">
        <f t="shared" si="0"/>
        <v>320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274</v>
      </c>
      <c r="AD13" s="902">
        <f t="shared" si="1"/>
        <v>0</v>
      </c>
      <c r="AE13" s="902">
        <f t="shared" si="1"/>
        <v>0</v>
      </c>
      <c r="AF13" s="902">
        <f t="shared" si="1"/>
        <v>20</v>
      </c>
      <c r="AG13" s="902">
        <f t="shared" si="1"/>
        <v>0</v>
      </c>
      <c r="AH13" s="902">
        <f t="shared" si="1"/>
        <v>34</v>
      </c>
      <c r="AI13" s="902">
        <f t="shared" si="1"/>
        <v>0</v>
      </c>
      <c r="AJ13" s="902">
        <f t="shared" si="1"/>
        <v>0</v>
      </c>
      <c r="AK13" s="902">
        <f t="shared" si="1"/>
        <v>0</v>
      </c>
      <c r="AL13" s="902">
        <f t="shared" si="1"/>
        <v>0</v>
      </c>
      <c r="AM13" s="902">
        <f t="shared" si="1"/>
        <v>473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248</v>
      </c>
      <c r="BD13" s="902">
        <f t="shared" si="1"/>
        <v>402</v>
      </c>
      <c r="BE13" s="902">
        <f t="shared" si="1"/>
        <v>0</v>
      </c>
      <c r="BF13" s="902">
        <f t="shared" si="1"/>
        <v>0</v>
      </c>
      <c r="BG13" s="902">
        <f>IF(ISNUMBER(Datos!K13/Datos!J13),Datos!K13/Datos!J13," - ")</f>
        <v>0.96478873239436624</v>
      </c>
      <c r="BH13" s="906">
        <f>IF(ISNUMBER(((Datos!L13/Datos!K13)*11)/factor_trimestre),((Datos!L13/Datos!K13)*11)/factor_trimestre," - ")</f>
        <v>6.0907194994786238</v>
      </c>
      <c r="BI13" s="902">
        <f>IF(ISNUMBER('Resol  Asuntos'!D13/NºAsuntos!G13),'Resol  Asuntos'!D13/NºAsuntos!G13," - ")</f>
        <v>0.22504537205081671</v>
      </c>
      <c r="BJ13" s="902" t="str">
        <f>IF(ISNUMBER(Datos!CI13/Datos!CJ13),Datos!CI13/Datos!CJ13," - ")</f>
        <v xml:space="preserve"> - </v>
      </c>
      <c r="BK13" s="902">
        <f>SUBTOTAL(9,BK8:BK12)</f>
        <v>0</v>
      </c>
      <c r="BL13" s="902">
        <f>IF(ISNUMBER((I13-AB13+L13)/(F13)),(I13-AB13+L13)/(F13)," - ")</f>
        <v>-0.70588235294117652</v>
      </c>
      <c r="BM13" s="907">
        <f>SUBTOTAL(9,BM9:BM12)</f>
        <v>-0.48388625592417056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240</v>
      </c>
      <c r="G16" s="601">
        <f>IF(ISNUMBER(IF(D_I="SI",Datos!I16,Datos!I16+Datos!AC16)),IF(D_I="SI",Datos!I16,Datos!I16+Datos!AC16)," - ")</f>
        <v>235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1749</v>
      </c>
      <c r="AC16" s="229">
        <f>IF(ISNUMBER(Datos!Q16),Datos!Q16," - ")</f>
        <v>51</v>
      </c>
      <c r="AD16" s="337"/>
      <c r="AE16" s="487"/>
      <c r="AF16" s="599">
        <f>IF(ISNUMBER(IF(D_I="SI",Datos!L16,Datos!L16+Datos!AF16)),IF(D_I="SI",Datos!L16,Datos!L16+Datos!AF16)," - ")</f>
        <v>330</v>
      </c>
      <c r="AG16" s="337"/>
      <c r="AH16" s="337"/>
      <c r="AI16" s="337"/>
      <c r="AJ16" s="337"/>
      <c r="AK16" s="337"/>
      <c r="AL16" s="482"/>
      <c r="AM16" s="338">
        <f>IF(ISNUMBER(Datos!R16),Datos!R16," - ")</f>
        <v>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139</v>
      </c>
      <c r="BD16" s="232">
        <f>IF(ISNUMBER(Datos!N16),Datos!N16," - ")</f>
        <v>1250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0.95106035889070151</v>
      </c>
      <c r="BH16" s="263">
        <f>IF(ISNUMBER(((IF(D_I="SI",Datos!L16/Datos!K16,(Datos!L16+Datos!AF16)/(Datos!K16+Datos!AE16)))*11)/factor_trimestre),((IF(D_I="SI",Datos!L16/Datos!K16,(Datos!L16+Datos!AF16)/(Datos!K16+Datos!AE16)))*11)/factor_trimestre," - ")</f>
        <v>2.0754716981132075</v>
      </c>
      <c r="BI16" s="246">
        <f>IF(ISNUMBER('Resol  Asuntos'!D16/NºAsuntos!G16),'Resol  Asuntos'!D16/NºAsuntos!G16," - ")</f>
        <v>7.947398513436249E-2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147</v>
      </c>
      <c r="AC17" s="229">
        <f>IF(ISNUMBER(Datos!Q17),Datos!Q17," - ")</f>
        <v>0</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31</v>
      </c>
      <c r="BD17" s="232">
        <f>IF(ISNUMBER(Datos!N17),Datos!N17," - ")</f>
        <v>72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0.94230769230769229</v>
      </c>
      <c r="BH17" s="263">
        <f>IF(ISNUMBER(((IF(D_I="SI",Datos!L17/Datos!K17,(Datos!L17+Datos!AF17)/(Datos!K17+Datos!AE17)))*11)/factor_trimestre),((IF(D_I="SI",Datos!L17/Datos!K17,(Datos!L17+Datos!AF17)/(Datos!K17+Datos!AE17)))*11)/factor_trimestre," - ")</f>
        <v>2.5442176870748301</v>
      </c>
      <c r="BI17" s="246">
        <f>IF(ISNUMBER('Resol  Asuntos'!D17/NºAsuntos!G17),'Resol  Asuntos'!D17/NºAsuntos!G17," - ")</f>
        <v>0.21088435374149661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240</v>
      </c>
      <c r="G18" s="901">
        <f>SUBTOTAL(9,G15:G17)</f>
        <v>260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1896</v>
      </c>
      <c r="AC18" s="902">
        <f t="shared" si="4"/>
        <v>51</v>
      </c>
      <c r="AD18" s="902">
        <f t="shared" si="4"/>
        <v>0</v>
      </c>
      <c r="AE18" s="902">
        <f t="shared" si="4"/>
        <v>0</v>
      </c>
      <c r="AF18" s="902">
        <f t="shared" si="4"/>
        <v>364</v>
      </c>
      <c r="AG18" s="902">
        <f t="shared" si="4"/>
        <v>0</v>
      </c>
      <c r="AH18" s="902">
        <f t="shared" si="4"/>
        <v>0</v>
      </c>
      <c r="AI18" s="902">
        <f t="shared" si="4"/>
        <v>0</v>
      </c>
      <c r="AJ18" s="902">
        <f t="shared" si="4"/>
        <v>0</v>
      </c>
      <c r="AK18" s="902">
        <f t="shared" si="4"/>
        <v>0</v>
      </c>
      <c r="AL18" s="902">
        <f t="shared" si="4"/>
        <v>0</v>
      </c>
      <c r="AM18" s="902">
        <f t="shared" si="4"/>
        <v>75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170</v>
      </c>
      <c r="BD18" s="902">
        <f t="shared" si="4"/>
        <v>1322</v>
      </c>
      <c r="BE18" s="902">
        <f t="shared" si="4"/>
        <v>0</v>
      </c>
      <c r="BF18" s="902">
        <f t="shared" si="4"/>
        <v>0</v>
      </c>
      <c r="BG18" s="902">
        <f>IF(ISNUMBER(Datos!K18/Datos!J18),Datos!K18/Datos!J18," - ")</f>
        <v>0.9503759398496241</v>
      </c>
      <c r="BH18" s="906">
        <f>IF(ISNUMBER(((Datos!L18/Datos!K18)*11)/factor_trimestre),((Datos!L18/Datos!K18)*11)/factor_trimestre," - ")</f>
        <v>2.111814345991561</v>
      </c>
      <c r="BI18" s="902">
        <f>SUBTOTAL(9,BI15:BI17)</f>
        <v>0.2903583388758591</v>
      </c>
      <c r="BJ18" s="902">
        <f>SUBTOTAL(9,BJ15:BJ17)</f>
        <v>0</v>
      </c>
      <c r="BK18" s="902">
        <f>SUBTOTAL(9,BK15:BK17)</f>
        <v>0</v>
      </c>
      <c r="BL18" s="902">
        <f>IF(ISNUMBER((I18-AB18+L18)/(F18)),(I18-AB18+L18)/(F18)," - ")</f>
        <v>-7.9</v>
      </c>
      <c r="BM18" s="908">
        <f>IF(ISNUMBER((Datos!P18-Datos!Q18)/(Datos!R18-Datos!P18+Datos!Q18)),(Datos!P18-Datos!Q18)/(Datos!R18-Datos!P18+Datos!Q18)," - ")</f>
        <v>0.13636363636363635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257</v>
      </c>
      <c r="G19" s="823">
        <f t="shared" si="6"/>
        <v>277</v>
      </c>
      <c r="H19" s="825">
        <f t="shared" si="6"/>
        <v>0</v>
      </c>
      <c r="I19" s="823">
        <f t="shared" si="6"/>
        <v>0</v>
      </c>
      <c r="J19" s="825">
        <f t="shared" si="6"/>
        <v>0</v>
      </c>
      <c r="K19" s="825">
        <f t="shared" si="6"/>
        <v>0</v>
      </c>
      <c r="L19" s="884">
        <f t="shared" si="6"/>
        <v>0</v>
      </c>
      <c r="M19" s="884">
        <f t="shared" si="6"/>
        <v>0</v>
      </c>
      <c r="N19" s="884">
        <f t="shared" si="6"/>
        <v>143</v>
      </c>
      <c r="O19" s="884">
        <f t="shared" si="6"/>
        <v>0</v>
      </c>
      <c r="P19" s="884">
        <f t="shared" si="6"/>
        <v>0</v>
      </c>
      <c r="Q19" s="825">
        <f t="shared" si="6"/>
        <v>380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1908</v>
      </c>
      <c r="AC19" s="824">
        <f t="shared" si="7"/>
        <v>325</v>
      </c>
      <c r="AD19" s="824">
        <f t="shared" si="7"/>
        <v>0</v>
      </c>
      <c r="AE19" s="824">
        <f t="shared" si="7"/>
        <v>0</v>
      </c>
      <c r="AF19" s="831">
        <f t="shared" si="7"/>
        <v>384</v>
      </c>
      <c r="AG19" s="831">
        <f t="shared" si="7"/>
        <v>0</v>
      </c>
      <c r="AH19" s="831">
        <f t="shared" si="7"/>
        <v>34</v>
      </c>
      <c r="AI19" s="831">
        <f t="shared" si="7"/>
        <v>0</v>
      </c>
      <c r="AJ19" s="824">
        <f t="shared" si="7"/>
        <v>0</v>
      </c>
      <c r="AK19" s="831">
        <f t="shared" si="7"/>
        <v>0</v>
      </c>
      <c r="AL19" s="831">
        <f t="shared" si="7"/>
        <v>0</v>
      </c>
      <c r="AM19" s="831">
        <f t="shared" si="7"/>
        <v>548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418</v>
      </c>
      <c r="BD19" s="823">
        <f t="shared" si="7"/>
        <v>1724</v>
      </c>
      <c r="BE19" s="823">
        <f t="shared" si="7"/>
        <v>0</v>
      </c>
      <c r="BF19" s="833">
        <f t="shared" si="7"/>
        <v>0</v>
      </c>
      <c r="BG19" s="918">
        <f>IF(ISNUMBER(Datos!K19/Datos!J19),Datos!K19/Datos!J19," - ")</f>
        <v>0.9551689528270324</v>
      </c>
      <c r="BH19" s="918">
        <f>IF(ISNUMBER(((Datos!L19/Datos!K19)*11)/factor_trimestre),((Datos!L19/Datos!K19)*11)/factor_trimestre," - ")</f>
        <v>3.4483362521891419</v>
      </c>
      <c r="BI19" s="816">
        <f>IF(ISNUMBER(Datos!J19/Datos!I19),Datos!J19/Datos!I19," - ")</f>
        <v>3.9277266754270697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-7.4241245136186773</v>
      </c>
      <c r="BM19" s="892">
        <f>IF(ISNUMBER((Datos!P19-Datos!Q19+R19)/(Datos!R19-Datos!P19+Datos!Q19-R19)),(Datos!P19-Datos!Q19+R19)/(Datos!R19-Datos!P19+Datos!Q19-R19)," - ")</f>
        <v>0.11156186612576065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128.74911002928653</v>
      </c>
      <c r="G21" s="555">
        <f>IF(ISNUMBER(STDEV(G8:G18)),STDEV(G8:G18),"-")</f>
        <v>125.14471622885243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969.96685510382258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101.3955949076027</v>
      </c>
      <c r="BD21" s="554"/>
      <c r="BE21" s="554">
        <f>IF(ISNUMBER(STDEV(BE8:BE18)),STDEV(BE8:BE18),"-")</f>
        <v>0</v>
      </c>
      <c r="BF21" s="559">
        <f>IF(ISNUMBER(STDEV(BF8:BF18)),STDEV(BF8:BF18),"-")</f>
        <v>0</v>
      </c>
      <c r="BG21" s="778">
        <f>IF(ISNUMBER(STDEV(BG8:BG18)),STDEV(BG8:BG18),"-")</f>
        <v>6.456160128465073E-2</v>
      </c>
      <c r="BH21" s="779">
        <f>IF(ISNUMBER(STDEV(BH8:BH18)),STDEV(BH8:BH18),"-")</f>
        <v>6.2411546507133631</v>
      </c>
      <c r="BI21" s="252">
        <f>IF(ISNUMBER(STDEV(BI8:BI18)),STDEV(BI8:BI18),"-")</f>
        <v>8.8371543641696193E-2</v>
      </c>
      <c r="BJ21" s="233" t="str">
        <f>IF(ISNUMBER(BL21/BM21),BL21/BM21," - ")</f>
        <v xml:space="preserve"> - </v>
      </c>
      <c r="BK21" s="578"/>
      <c r="BL21" s="562">
        <f>IF(ISNUMBER(STDEV(BL8:BL18)),STDEV(BL8:BL18),"-")</f>
        <v>5.0870093728891046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lyQaUnXp3D6gvaozP44xL5LSc4Kkh+RwJC+jsYdncXtca9/5Ly/wkOZdAURZoTXmScrCAahT29XEoCk2NB5/w==" saltValue="iwSjib9rbYRMJ5ZGurBB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CAZORLA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17</v>
      </c>
      <c r="G10" s="228">
        <f>IF(ISNUMBER(Datos!I10),Datos!I10," - ")</f>
        <v>17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5</v>
      </c>
      <c r="AA10" s="335">
        <f>IF(ISNUMBER(Datos!L10),Datos!L10,"-")</f>
        <v>20</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9</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18.333333333333336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269</v>
      </c>
      <c r="AA12" s="335" t="str">
        <f>IF(ISNUMBER(IF(J_V="SI",Datos!L12,Datos!L12+Datos!AB12)-IF(Monitorios="SI",Datos!CD12,0)),
                          IF(J_V="SI",Datos!L12,Datos!L12+Datos!AB12)-IF(Monitorios="SI",Datos!CD12,0),
                          " - ")</f>
        <v xml:space="preserve"> - </v>
      </c>
      <c r="AB12" s="337"/>
      <c r="AC12" s="337"/>
      <c r="AD12" s="487"/>
      <c r="AE12" s="487">
        <f>IF(ISNUMBER(Datos!R12),Datos!R12," - ")</f>
        <v>471</v>
      </c>
      <c r="AF12" s="232" t="str">
        <f>IF(ISNUMBER(Datos!BV12),Datos!BV12," - ")</f>
        <v xml:space="preserve"> - </v>
      </c>
      <c r="AG12" s="228" t="str">
        <f>IF(ISNUMBER(Datos!DV12),Datos!DV12," - ")</f>
        <v xml:space="preserve"> - </v>
      </c>
      <c r="AH12" s="301"/>
      <c r="AI12" s="230"/>
      <c r="AJ12" s="228">
        <f>IF(ISNUMBER(Datos!M12),Datos!M12," - ")</f>
        <v>239</v>
      </c>
      <c r="AK12" s="232">
        <f>IF(ISNUMBER(Datos!N12),Datos!N12," - ")</f>
        <v>398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0.11611374407582939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17</v>
      </c>
      <c r="G13" s="901">
        <f>SUBTOTAL(9,G8:G12)</f>
        <v>17</v>
      </c>
      <c r="H13" s="911"/>
      <c r="I13" s="901">
        <f t="shared" ref="I13:N13" si="0">SUBTOTAL(9,I8:I12)</f>
        <v>0</v>
      </c>
      <c r="J13" s="870">
        <f t="shared" si="0"/>
        <v>0</v>
      </c>
      <c r="K13" s="911">
        <f t="shared" si="0"/>
        <v>0</v>
      </c>
      <c r="L13" s="911">
        <f t="shared" si="0"/>
        <v>0</v>
      </c>
      <c r="M13" s="911">
        <f t="shared" si="0"/>
        <v>0</v>
      </c>
      <c r="N13" s="911">
        <f t="shared" si="0"/>
        <v>320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274</v>
      </c>
      <c r="AA13" s="903">
        <f t="shared" si="2"/>
        <v>20</v>
      </c>
      <c r="AB13" s="903">
        <f t="shared" si="2"/>
        <v>0</v>
      </c>
      <c r="AC13" s="903">
        <f t="shared" si="2"/>
        <v>0</v>
      </c>
      <c r="AD13" s="903">
        <f t="shared" si="2"/>
        <v>0</v>
      </c>
      <c r="AE13" s="903">
        <f t="shared" si="2"/>
        <v>473</v>
      </c>
      <c r="AF13" s="911">
        <f t="shared" si="2"/>
        <v>0</v>
      </c>
      <c r="AG13" s="911">
        <f t="shared" si="2"/>
        <v>0</v>
      </c>
      <c r="AH13" s="911">
        <f t="shared" si="2"/>
        <v>0</v>
      </c>
      <c r="AI13" s="911">
        <f t="shared" si="2"/>
        <v>0</v>
      </c>
      <c r="AJ13" s="911">
        <f t="shared" si="2"/>
        <v>248</v>
      </c>
      <c r="AK13" s="911">
        <f t="shared" si="2"/>
        <v>402</v>
      </c>
      <c r="AL13" s="911">
        <f t="shared" si="2"/>
        <v>0</v>
      </c>
      <c r="AM13" s="911">
        <f t="shared" si="2"/>
        <v>0</v>
      </c>
      <c r="AN13" s="911">
        <f t="shared" si="2"/>
        <v>0</v>
      </c>
      <c r="AO13" s="907">
        <f>IF(ISNUMBER(((NºAsuntos!I13/NºAsuntos!G13)*11)/factor_trimestre),((NºAsuntos!I13/NºAsuntos!G13)*11)/factor_trimestre," - ")</f>
        <v>5.6397459165154258</v>
      </c>
      <c r="AP13" s="913" t="str">
        <f>IF(ISNUMBER(Datos!CI13/Datos!CJ13),Datos!CI13/Datos!CJ13," - ")</f>
        <v xml:space="preserve"> - </v>
      </c>
      <c r="AQ13" s="931">
        <f t="shared" ref="AQ13:AV13" si="3">SUBTOTAL(9,AQ9:AQ12)</f>
        <v>0</v>
      </c>
      <c r="AR13" s="931">
        <f t="shared" si="3"/>
        <v>-0.48388625592417056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240</v>
      </c>
      <c r="G16" s="228">
        <f>IF(ISNUMBER(IF(D_I="SI",Datos!I16,Datos!I16+Datos!AC16)),IF(D_I="SI",Datos!I16,Datos!I16+Datos!AC16)," - ")</f>
        <v>235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1749</v>
      </c>
      <c r="Z16" s="622">
        <f>IF(ISNUMBER(Datos!Q16),Datos!Q16," - ")</f>
        <v>51</v>
      </c>
      <c r="AA16" s="335">
        <f>IF(ISNUMBER(IF(D_I="SI",Datos!L16,Datos!L16+Datos!AF16)),IF(D_I="SI",Datos!L16,Datos!L16+Datos!AF16)," - ")</f>
        <v>330</v>
      </c>
      <c r="AB16" s="337"/>
      <c r="AC16" s="337"/>
      <c r="AD16" s="487"/>
      <c r="AE16" s="487">
        <f>IF(ISNUMBER(Datos!R16),Datos!R16," - ")</f>
        <v>75</v>
      </c>
      <c r="AF16" s="232" t="str">
        <f>IF(ISNUMBER(Datos!BV16),Datos!BV16," - ")</f>
        <v xml:space="preserve"> - </v>
      </c>
      <c r="AG16" s="228"/>
      <c r="AH16" s="301"/>
      <c r="AI16" s="230"/>
      <c r="AJ16" s="228">
        <f>IF(ISNUMBER(Datos!M16),Datos!M16," - ")</f>
        <v>139</v>
      </c>
      <c r="AK16" s="232">
        <f>IF(ISNUMBER(Datos!N16),Datos!N16," - ")</f>
        <v>1250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2.0754716981132075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147</v>
      </c>
      <c r="Z17" s="622">
        <f>IF(ISNUMBER(Datos!Q17),Datos!Q17," - ")</f>
        <v>0</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31</v>
      </c>
      <c r="AK17" s="232">
        <f>IF(ISNUMBER(Datos!N17),Datos!N17," - ")</f>
        <v>72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2.5442176870748301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240</v>
      </c>
      <c r="G18" s="901">
        <f>SUBTOTAL(9,G15:G17)</f>
        <v>260</v>
      </c>
      <c r="H18" s="935">
        <f>SUBTOTAL(9,H15:H17)</f>
        <v>0</v>
      </c>
      <c r="I18" s="914">
        <f>SUBTOTAL(9,I15:I17)</f>
        <v>0</v>
      </c>
      <c r="J18" s="870">
        <f>SUBTOTAL(9,J14:J17)</f>
        <v>0</v>
      </c>
      <c r="K18" s="935">
        <f t="shared" ref="K18:S18" si="4">SUBTOTAL(9,K15:K17)</f>
        <v>0</v>
      </c>
      <c r="L18" s="935">
        <f t="shared" si="4"/>
        <v>0</v>
      </c>
      <c r="M18" s="935">
        <f t="shared" si="4"/>
        <v>0</v>
      </c>
      <c r="N18" s="935">
        <f t="shared" si="4"/>
        <v>60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1896</v>
      </c>
      <c r="Z18" s="935">
        <f t="shared" si="5"/>
        <v>51</v>
      </c>
      <c r="AA18" s="935">
        <f t="shared" si="5"/>
        <v>364</v>
      </c>
      <c r="AB18" s="935">
        <f t="shared" si="5"/>
        <v>0</v>
      </c>
      <c r="AC18" s="935">
        <f t="shared" si="5"/>
        <v>0</v>
      </c>
      <c r="AD18" s="935">
        <f t="shared" si="5"/>
        <v>0</v>
      </c>
      <c r="AE18" s="935">
        <f t="shared" si="5"/>
        <v>75</v>
      </c>
      <c r="AF18" s="935">
        <f t="shared" si="5"/>
        <v>0</v>
      </c>
      <c r="AG18" s="935">
        <f t="shared" si="5"/>
        <v>0</v>
      </c>
      <c r="AH18" s="935">
        <f t="shared" si="5"/>
        <v>0</v>
      </c>
      <c r="AI18" s="935">
        <f t="shared" si="5"/>
        <v>0</v>
      </c>
      <c r="AJ18" s="935">
        <f t="shared" si="5"/>
        <v>170</v>
      </c>
      <c r="AK18" s="935">
        <f t="shared" si="5"/>
        <v>1322</v>
      </c>
      <c r="AL18" s="935">
        <f t="shared" si="5"/>
        <v>0</v>
      </c>
      <c r="AM18" s="935">
        <f t="shared" si="5"/>
        <v>0</v>
      </c>
      <c r="AN18" s="935">
        <f t="shared" si="5"/>
        <v>0</v>
      </c>
      <c r="AO18" s="937">
        <f>IF(ISNUMBER(((NºAsuntos!I18/NºAsuntos!G18)*11)/factor_trimestre),((NºAsuntos!I18/NºAsuntos!G18)*11)/factor_trimestre," - ")</f>
        <v>2.111814345991561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257</v>
      </c>
      <c r="G19" s="823">
        <f t="shared" si="7"/>
        <v>277</v>
      </c>
      <c r="H19" s="824">
        <f t="shared" si="7"/>
        <v>0</v>
      </c>
      <c r="I19" s="823">
        <f t="shared" si="7"/>
        <v>0</v>
      </c>
      <c r="J19" s="825">
        <f t="shared" si="7"/>
        <v>0</v>
      </c>
      <c r="K19" s="823">
        <f t="shared" si="7"/>
        <v>0</v>
      </c>
      <c r="L19" s="826">
        <f t="shared" si="7"/>
        <v>0</v>
      </c>
      <c r="M19" s="823">
        <f t="shared" si="7"/>
        <v>0</v>
      </c>
      <c r="N19" s="824">
        <f t="shared" si="7"/>
        <v>380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1908</v>
      </c>
      <c r="Z19" s="830">
        <f t="shared" si="8"/>
        <v>325</v>
      </c>
      <c r="AA19" s="831">
        <f t="shared" si="8"/>
        <v>384</v>
      </c>
      <c r="AB19" s="831">
        <f t="shared" si="8"/>
        <v>0</v>
      </c>
      <c r="AC19" s="831">
        <f t="shared" si="8"/>
        <v>0</v>
      </c>
      <c r="AD19" s="832">
        <f t="shared" si="8"/>
        <v>0</v>
      </c>
      <c r="AE19" s="832">
        <f t="shared" si="8"/>
        <v>548</v>
      </c>
      <c r="AF19" s="833">
        <f t="shared" si="8"/>
        <v>0</v>
      </c>
      <c r="AG19" s="834">
        <f t="shared" si="8"/>
        <v>0</v>
      </c>
      <c r="AH19" s="835">
        <f t="shared" si="8"/>
        <v>0</v>
      </c>
      <c r="AI19" s="833">
        <f t="shared" si="8"/>
        <v>0</v>
      </c>
      <c r="AJ19" s="823">
        <f t="shared" si="8"/>
        <v>418</v>
      </c>
      <c r="AK19" s="823">
        <f t="shared" si="8"/>
        <v>1724</v>
      </c>
      <c r="AL19" s="823">
        <f t="shared" si="8"/>
        <v>0</v>
      </c>
      <c r="AM19" s="836">
        <f t="shared" si="8"/>
        <v>0</v>
      </c>
      <c r="AN19" s="826">
        <f>IF(ISNUMBER(Datos!K19/Datos!J19),Datos!K19/Datos!J19," - ")</f>
        <v>0.9551689528270324</v>
      </c>
      <c r="AO19" s="826">
        <f>IF(ISNUMBER(FIND("06",Criterios!A8,1)),(IF(ISNUMBER(((Datos!R19/Datos!Q19)*11)/factor_trimestre),((Datos!R19/Datos!Q19)*11)/factor_trimestre," - ")),(IF(ISNUMBER(((Datos!L19/Datos!K19)*11)/factor_trimestre),((Datos!L19/Datos!K19)*11)/factor_trimestre," - ")))</f>
        <v>3.4483362521891419</v>
      </c>
      <c r="AP19" s="837" t="str">
        <f>IF(ISNUMBER(Datos!CI19/Datos!CJ19),Datos!CI19/Datos!CJ19," - ")</f>
        <v xml:space="preserve"> - </v>
      </c>
      <c r="AQ19" s="837">
        <f>IF(OR(ISNUMBER(FIND("01",Criterios!A8,1)),ISNUMBER(FIND("02",Criterios!A8,1)),ISNUMBER(FIND("03",Criterios!A8,1)),ISNUMBER(FIND("04",Criterios!A8,1))),(J19-Y19+K19)/(F19-K19),(I19-Y19+K19)/(F19-K19))</f>
        <v>-7.4241245136186773</v>
      </c>
      <c r="AR19" s="837">
        <f>IF(ISNUMBER((Datos!P19-Datos!Q19+O19)/(Datos!R19-Datos!P19+Datos!Q19-O19)),(Datos!P19-Datos!Q19+O19)/(Datos!R19-Datos!P19+Datos!Q19-O19)," - ")</f>
        <v>0.11156186612576065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128.74911002928653</v>
      </c>
      <c r="G21" s="555">
        <f>IF(ISNUMBER(STDEV(G8:G18)),STDEV(G8:G18),"-")</f>
        <v>125.14471622885243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101.3955949076027</v>
      </c>
      <c r="AK21" s="255"/>
      <c r="AL21" s="255">
        <f>IF(ISNUMBER(STDEV(AL8:AL18)),STDEV(AL8:AL18),"-")</f>
        <v>0</v>
      </c>
      <c r="AM21" s="257">
        <f>IF(ISNUMBER(STDEV(AM8:AM18)),STDEV(AM8:AM18),"-")</f>
        <v>0</v>
      </c>
      <c r="AN21" s="542">
        <f>IF(ISNUMBER(STDEV(AN8:AN18)),STDEV(AN8:AN18),"-")</f>
        <v>0</v>
      </c>
      <c r="AO21" s="543">
        <f>IF(ISNUMBER(STDEV(AO8:AO18)),STDEV(AO8:AO18),"-")</f>
        <v>6.2441374085312686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Kg0f+ZYHcnb76JgoKnCuj5b+7nL7JpwwpP+opbH3bB+GYyRz274BTr8yhwEzkyPWTYHN/CE19tBA19sOfNrwg==" saltValue="ZTrNzMVkd6wD1R5dlwNk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IPnNZASfe3PGwkiTSRu3UMf8HCk/C2gOg1IHcoOCwVudlQRYuht6I0Vn0jSDoZwrqfnMEdHdclw9hd0hR6Mtg==" saltValue="k2ur72O4XTXxyJwSTEgP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Oj5JNDL9CwW92kCxQ6jVUbC1OwTeqEZ++cU8fdRe7DrBJ/Y9p+QHAxkcJrv9XKSnOH6JEQBjjyCJ5hLAAgtw==" saltValue="Nbn8K966W1V5FYcmsn7kS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CAZORLA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0.22504537205081671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0.15913110865178201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fDwGQCNNaYvV58zHA4dOrCAPgT3SXJPjJGy2/OKAOnP4YHJ1ZUWD80SJFaCTzcL2UzH5OXl9pFiIidVdW3R7Q==" saltValue="Ciem0cOEydnUWgx5AcQZ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8DaUVPQLMpZxNOKih6dB+d3/vfnkl9oKl6CZNtEp7DIsRfzWhkFSTugZ6DDjO2UBIKbdFATz27fqXw7Ri0MMNg==" saltValue="hUb6z+Y4U973sPPllvMt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CAZORLA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v>
      </c>
      <c r="D10" s="407">
        <f>IF(ISNUMBER(C10/Datos!BH10),C10/Datos!BH10," - ")</f>
        <v>17</v>
      </c>
      <c r="E10" s="406">
        <f>IF(ISNUMBER(Datos!J10),Datos!J10," - ")</f>
        <v>15</v>
      </c>
      <c r="F10" s="407">
        <f>IF(ISNUMBER(E10/B10),E10/B10," - ")</f>
        <v>15</v>
      </c>
      <c r="G10" s="406">
        <f>IF(ISNUMBER(Datos!K10),Datos!K10," - ")</f>
        <v>12</v>
      </c>
      <c r="H10" s="407">
        <f>IF(ISNUMBER(G10/B10),G10/B10," - ")</f>
        <v>12</v>
      </c>
      <c r="I10" s="406">
        <f>IF(ISNUMBER(Datos!L10),Datos!L10," - ")</f>
        <v>20</v>
      </c>
      <c r="J10" s="407">
        <f>IF(ISNUMBER(I10/B10),I10/B10," - ")</f>
        <v>20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518</v>
      </c>
      <c r="D12" s="407">
        <f>IF(ISNUMBER(C12/Datos!BH12),C12/Datos!BH12," - ")</f>
        <v>259</v>
      </c>
      <c r="E12" s="406">
        <f>IF(ISNUMBER(IF(J_V="SI",Datos!J12,Datos!J12+Datos!Z12)),IF(J_V="SI",Datos!J12,Datos!J12+Datos!Z12)," - ")</f>
        <v>1122</v>
      </c>
      <c r="F12" s="407">
        <f>IF(ISNUMBER(E12/B12),E12/B12," - ")</f>
        <v>561</v>
      </c>
      <c r="G12" s="406">
        <f>IF(ISNUMBER(IF(J_V="SI",Datos!K12,Datos!K12+Datos!AA12)),IF(J_V="SI",Datos!K12,Datos!K12+Datos!AA12)," - ")</f>
        <v>1090</v>
      </c>
      <c r="H12" s="407">
        <f>IF(ISNUMBER(G12/B12),G12/B12," - ")</f>
        <v>545</v>
      </c>
      <c r="I12" s="406">
        <f>IF(ISNUMBER(IF(J_V="SI",Datos!L12,Datos!L12+Datos!AB12)),IF(J_V="SI",Datos!L12,Datos!L12+Datos!AB12)," - ")</f>
        <v>545</v>
      </c>
      <c r="J12" s="407">
        <f>IF(ISNUMBER(I12/B12),I12/B12," - ")</f>
        <v>272.5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535</v>
      </c>
      <c r="D13" s="853" t="str">
        <f>IF(ISNUMBER(C13/Datos!BI13),C13/Datos!BI13," - ")</f>
        <v xml:space="preserve"> - </v>
      </c>
      <c r="E13" s="852">
        <f>SUBTOTAL(9,E8:E12)</f>
        <v>1137</v>
      </c>
      <c r="F13" s="853">
        <f>IF(ISNUMBER(E13/B13),E13/B13," - ")</f>
        <v>568.5</v>
      </c>
      <c r="G13" s="852">
        <f>SUBTOTAL(9,G8:G12)</f>
        <v>1102</v>
      </c>
      <c r="H13" s="853">
        <f>IF(ISNUMBER(G13/B13),G13/B13," - ")</f>
        <v>551</v>
      </c>
      <c r="I13" s="852">
        <f>SUBTOTAL(9,I8:I12)</f>
        <v>565</v>
      </c>
      <c r="J13" s="853">
        <f>IF(ISNUMBER(I13/B13),I13/B13," - ")</f>
        <v>282.5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235</v>
      </c>
      <c r="D16" s="407">
        <f>IF(ISNUMBER(C16/Datos!BH16),C16/Datos!BH16," - ")</f>
        <v>117.5</v>
      </c>
      <c r="E16" s="406">
        <f>IF(ISNUMBER(IF(D_I="SI",Datos!J16,Datos!J16+Datos!AD16)),IF(D_I="SI",Datos!J16,Datos!J16+Datos!AD16)," - ")</f>
        <v>1839</v>
      </c>
      <c r="F16" s="407">
        <f>IF(ISNUMBER(E16/B16),E16/B16," - ")</f>
        <v>919.5</v>
      </c>
      <c r="G16" s="406">
        <f>IF(ISNUMBER(IF(D_I="SI",Datos!K16,Datos!K16+Datos!AE16)),IF(D_I="SI",Datos!K16,Datos!K16+Datos!AE16)," - ")</f>
        <v>1749</v>
      </c>
      <c r="H16" s="407">
        <f>IF(ISNUMBER(G16/B16),G16/B16," - ")</f>
        <v>874.5</v>
      </c>
      <c r="I16" s="406">
        <f>IF(ISNUMBER(IF(D_I="SI",Datos!L16,Datos!L16+Datos!AF16)),IF(D_I="SI",Datos!L16,Datos!L16+Datos!AF16)," - ")</f>
        <v>330</v>
      </c>
      <c r="J16" s="407">
        <f>IF(ISNUMBER(I16/B16),I16/B16," - ")</f>
        <v>165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v>
      </c>
      <c r="D17" s="407">
        <f>IF(ISNUMBER(C17/Datos!BH17),C17/Datos!BH17," - ")</f>
        <v>25</v>
      </c>
      <c r="E17" s="406">
        <f>IF(ISNUMBER(IF(D_I="SI",Datos!J17,Datos!J17+Datos!AD17)),IF(D_I="SI",Datos!J17,Datos!J17+Datos!AD17)," - ")</f>
        <v>156</v>
      </c>
      <c r="F17" s="407">
        <f>IF(ISNUMBER(E17/B17),E17/B17," - ")</f>
        <v>156</v>
      </c>
      <c r="G17" s="406">
        <f>IF(ISNUMBER(IF(D_I="SI",Datos!K17,Datos!K17+Datos!AE17)),IF(D_I="SI",Datos!K17,Datos!K17+Datos!AE17)," - ")</f>
        <v>147</v>
      </c>
      <c r="H17" s="407">
        <f>IF(ISNUMBER(G17/B17),G17/B17," - ")</f>
        <v>147</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260</v>
      </c>
      <c r="D18" s="853" t="str">
        <f>IF(ISNUMBER(C18/Datos!BI18),C18/Datos!BI18," - ")</f>
        <v xml:space="preserve"> - </v>
      </c>
      <c r="E18" s="852">
        <f>SUBTOTAL(9,E14:E17)</f>
        <v>1995</v>
      </c>
      <c r="F18" s="853">
        <f>IF(ISNUMBER(E18/B18),E18/B18," - ")</f>
        <v>997.5</v>
      </c>
      <c r="G18" s="852">
        <f>SUBTOTAL(9,G14:G17)</f>
        <v>1896</v>
      </c>
      <c r="H18" s="853">
        <f>IF(ISNUMBER(G18/B18),G18/B18," - ")</f>
        <v>948</v>
      </c>
      <c r="I18" s="852">
        <f>SUBTOTAL(9,I14:I17)</f>
        <v>364</v>
      </c>
      <c r="J18" s="853">
        <f>IF(ISNUMBER(I18/B18),I18/B18," - ")</f>
        <v>182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795</v>
      </c>
      <c r="D19" s="798" t="str">
        <f>IF(ISNUMBER(C19/Datos!BI19),C19/Datos!BI19," - ")</f>
        <v xml:space="preserve"> - </v>
      </c>
      <c r="E19" s="797">
        <f>SUBTOTAL(9,E9:E18)</f>
        <v>3132</v>
      </c>
      <c r="F19" s="798">
        <f>IF(ISNUMBER(E19/B19),E19/B19," - ")</f>
        <v>1566</v>
      </c>
      <c r="G19" s="797">
        <f>SUBTOTAL(9,G9:G18)</f>
        <v>2998</v>
      </c>
      <c r="H19" s="798">
        <f>IF(ISNUMBER(G19/B19),G19/B19," - ")</f>
        <v>1499</v>
      </c>
      <c r="I19" s="797">
        <f>SUBTOTAL(9,I9:I18)</f>
        <v>929</v>
      </c>
      <c r="J19" s="798">
        <f>IF(ISNUMBER(I19/B19),I19/B19," - ")</f>
        <v>464.5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YfK3CgXkWdTGftbaipbWMLl/0rP2uK2hKumG5NuqvgCwVRYhETrN/QpTpB59eqycuKQKOg0wElKcdgE8n4gWwA==" saltValue="D40Td4/gzkVQhzoRz17S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CAZORLA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17</v>
      </c>
      <c r="G10" s="687">
        <f>IF(ISNUMBER(Datos!I10),Datos!I10," - ")</f>
        <v>17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20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18.333333333333336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269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471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239</v>
      </c>
      <c r="AM12" s="693">
        <f>IF(ISNUMBER(Datos!N12+DatosP!N16),Datos!N12+DatosP!N16," - ")</f>
        <v>398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0.11611374407582939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17</v>
      </c>
      <c r="G13" s="941">
        <f t="shared" si="0"/>
        <v>17</v>
      </c>
      <c r="H13" s="941">
        <f t="shared" si="0"/>
        <v>0</v>
      </c>
      <c r="I13" s="943">
        <f t="shared" si="0"/>
        <v>0</v>
      </c>
      <c r="J13" s="942">
        <f t="shared" si="0"/>
        <v>0</v>
      </c>
      <c r="K13" s="942">
        <f t="shared" si="0"/>
        <v>0</v>
      </c>
      <c r="L13" s="944">
        <f t="shared" si="0"/>
        <v>0</v>
      </c>
      <c r="M13" s="944">
        <f t="shared" si="0"/>
        <v>0</v>
      </c>
      <c r="N13" s="942">
        <f t="shared" si="0"/>
        <v>320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269</v>
      </c>
      <c r="AE13" s="942">
        <f t="shared" si="1"/>
        <v>0</v>
      </c>
      <c r="AF13" s="942">
        <f t="shared" si="1"/>
        <v>20</v>
      </c>
      <c r="AG13" s="942">
        <f t="shared" si="1"/>
        <v>0</v>
      </c>
      <c r="AH13" s="942">
        <f t="shared" si="1"/>
        <v>471</v>
      </c>
      <c r="AI13" s="942">
        <f t="shared" si="1"/>
        <v>0</v>
      </c>
      <c r="AJ13" s="942">
        <f t="shared" si="1"/>
        <v>0</v>
      </c>
      <c r="AK13" s="942">
        <f t="shared" si="1"/>
        <v>0</v>
      </c>
      <c r="AL13" s="942">
        <f t="shared" si="1"/>
        <v>248</v>
      </c>
      <c r="AM13" s="942">
        <f t="shared" si="1"/>
        <v>402</v>
      </c>
      <c r="AN13" s="942">
        <f t="shared" si="1"/>
        <v>0</v>
      </c>
      <c r="AO13" s="942">
        <f t="shared" si="1"/>
        <v>0</v>
      </c>
      <c r="AP13" s="947">
        <f>IF(ISNUMBER(((Datos!L13/Datos!K13)*11)/factor_trimestre),((Datos!L13/Datos!K13)*11)/factor_trimestre," - ")</f>
        <v>6.0907194994786238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-0.70588235294117652</v>
      </c>
      <c r="AU13" s="942" t="str">
        <f>IF(ISNUMBER((DatosP!#REF!-DatosP!#REF!+DatosP!#REF!)/(DatosP!#REF!+DatosP!#REF!-DatosP!#REF!-DatosP!#REF!)),(DatosP!#REF!-DatosP!#REF!+DatosP!#REF!)/(DatosP!#REF!+DatosP!#REF!-DatosP!#REF!-DatosP!#REF!)," - ")</f>
        <v xml:space="preserve"> - </v>
      </c>
      <c r="AV13" s="948">
        <f>SUBTOTAL(9,AV9:AV12)</f>
        <v>0.11611374407582939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2.111814345991561</v>
      </c>
      <c r="AQ18" s="947">
        <f>IF(ISNUMBER(((Datos!M18/Datos!L18)*11)/factor_trimestre),((Datos!M18/Datos!L18)*11)/factor_trimestre," - ")</f>
        <v>5.1373626373626378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0.13636363636363635</v>
      </c>
      <c r="AW18" s="949">
        <f>IF(ISNUMBER((Datos!Q18-Datos!R18)/(Datos!S18-Datos!Q18+Datos!R18)),(Datos!Q18-Datos!R18)/(Datos!S18-Datos!Q18+Datos!R18)," - ")</f>
        <v>-7.9734219269102985E-2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17</v>
      </c>
      <c r="G19" s="954">
        <f t="shared" si="4"/>
        <v>17</v>
      </c>
      <c r="H19" s="954">
        <f t="shared" si="4"/>
        <v>0</v>
      </c>
      <c r="I19" s="955">
        <f t="shared" si="4"/>
        <v>0</v>
      </c>
      <c r="J19" s="956">
        <f t="shared" si="4"/>
        <v>0</v>
      </c>
      <c r="K19" s="956">
        <f t="shared" si="4"/>
        <v>0</v>
      </c>
      <c r="L19" s="956">
        <f t="shared" si="4"/>
        <v>0</v>
      </c>
      <c r="M19" s="956">
        <f t="shared" si="4"/>
        <v>0</v>
      </c>
      <c r="N19" s="955">
        <f t="shared" si="4"/>
        <v>320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269</v>
      </c>
      <c r="AE19" s="960">
        <f t="shared" si="5"/>
        <v>0</v>
      </c>
      <c r="AF19" s="961">
        <f t="shared" si="5"/>
        <v>20</v>
      </c>
      <c r="AG19" s="961">
        <f t="shared" si="5"/>
        <v>0</v>
      </c>
      <c r="AH19" s="961">
        <f t="shared" si="5"/>
        <v>471</v>
      </c>
      <c r="AI19" s="961">
        <f t="shared" si="5"/>
        <v>0</v>
      </c>
      <c r="AJ19" s="962">
        <f t="shared" si="5"/>
        <v>0</v>
      </c>
      <c r="AK19" s="962">
        <f t="shared" si="5"/>
        <v>0</v>
      </c>
      <c r="AL19" s="954">
        <f t="shared" si="5"/>
        <v>248</v>
      </c>
      <c r="AM19" s="954">
        <f t="shared" si="5"/>
        <v>402</v>
      </c>
      <c r="AN19" s="954">
        <f t="shared" si="5"/>
        <v>0</v>
      </c>
      <c r="AO19" s="954">
        <f t="shared" si="5"/>
        <v>0</v>
      </c>
      <c r="AP19" s="954">
        <f>IF(ISNUMBER(((Datos!L19/Datos!K19)*11)/factor_trimestre),((Datos!L19/Datos!K19)*11)/factor_trimestre," - ")</f>
        <v>3.4483362521891419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-0.70588235294117652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0.11156186612576065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9.8149545762236379</v>
      </c>
      <c r="G21" s="740">
        <f>IF(ISNUMBER(STDEV(G8:G18)),STDEV(G8:G18),"-")</f>
        <v>9.8149545762236379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138.08451518303323</v>
      </c>
      <c r="AM21" s="739"/>
      <c r="AN21" s="739">
        <f>IF(ISNUMBER(STDEV(AN8:AN18)),STDEV(AN8:AN18),"-")</f>
        <v>0</v>
      </c>
      <c r="AO21" s="745">
        <f>IF(ISNUMBER(STDEV(AO8:AO18)),STDEV(AO8:AO18),"-")</f>
        <v>0</v>
      </c>
      <c r="AP21" s="782">
        <f>IF(ISNUMBER(STDEV(AP8:AP18)),STDEV(AP8:AP18),"-")</f>
        <v>7.1026647227147759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QZu4txNcv4PYCYSngPpP5lV3l+E/dd9JHrGf9MrCTqCl+KpbbgGFrk2vqFa44xDiGvFth13P41gXVI/ZCgOPyw==" saltValue="QQJjj7ghIrL1jIYXu7QT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CAZORLA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ZQDX4nKCVQNzwS7/OMbm7tgIszvyYpdmRYQNna3gOa3LFC5/vUnF+Pu95UoqajJVjamlNTZLfrfLpq2ap/rqQ==" saltValue="4nrTq/LaasxZUGrHX64O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CAZORLA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4</v>
      </c>
      <c r="G10" s="407">
        <f>IF(ISNUMBER(F10/B10),F10/B10," - ")</f>
        <v>4</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239</v>
      </c>
      <c r="E12" s="407">
        <f t="shared" si="0"/>
        <v>119.5</v>
      </c>
      <c r="F12" s="406">
        <f>IF(ISNUMBER(Datos!N12),Datos!N12," - ")</f>
        <v>398</v>
      </c>
      <c r="G12" s="407">
        <f t="shared" si="1"/>
        <v>199</v>
      </c>
      <c r="H12" s="406">
        <f>IF(ISNUMBER(Datos!O12),Datos!O12," - ")</f>
        <v>688</v>
      </c>
      <c r="I12" s="407">
        <f t="shared" si="2"/>
        <v>344</v>
      </c>
    </row>
    <row r="13" spans="1:9" ht="14.25" thickTop="1" thickBot="1">
      <c r="A13" s="851" t="str">
        <f>Datos!A13</f>
        <v>TOTAL</v>
      </c>
      <c r="B13" s="852">
        <f>Datos!AO13</f>
        <v>3</v>
      </c>
      <c r="C13" s="854">
        <f>Datos!AR13</f>
        <v>2</v>
      </c>
      <c r="D13" s="852">
        <f>SUBTOTAL(9,D9:D12)</f>
        <v>248</v>
      </c>
      <c r="E13" s="853">
        <f t="shared" si="0"/>
        <v>82.666666666666671</v>
      </c>
      <c r="F13" s="852">
        <f>SUBTOTAL(9,F9:F12)</f>
        <v>402</v>
      </c>
      <c r="G13" s="853">
        <f t="shared" si="1"/>
        <v>134</v>
      </c>
      <c r="H13" s="852">
        <f>SUBTOTAL(9,H9:H12)</f>
        <v>691</v>
      </c>
      <c r="I13" s="853">
        <f>IF(ISNUMBER(H13/B13),H13/B13," - ")</f>
        <v>230.33333333333334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139</v>
      </c>
      <c r="E16" s="407">
        <f t="shared" si="3"/>
        <v>69.5</v>
      </c>
      <c r="F16" s="406">
        <f>IF(ISNUMBER(Datos!N16),Datos!N16," - ")</f>
        <v>1250</v>
      </c>
      <c r="G16" s="407">
        <f t="shared" si="4"/>
        <v>625</v>
      </c>
      <c r="H16" s="406">
        <f>IF(ISNUMBER(Datos!O16),Datos!O16," - ")</f>
        <v>32</v>
      </c>
      <c r="I16" s="407">
        <f t="shared" si="5"/>
        <v>16</v>
      </c>
    </row>
    <row r="17" spans="1:9" ht="13.5" thickBot="1">
      <c r="A17" s="405" t="str">
        <f>Datos!A17</f>
        <v>Jdos. Violencia contra la mujer</v>
      </c>
      <c r="B17" s="430">
        <f>Datos!AO17</f>
        <v>1</v>
      </c>
      <c r="C17" s="431">
        <f>Datos!AQ17</f>
        <v>0</v>
      </c>
      <c r="D17" s="406">
        <f>IF(ISNUMBER(Datos!M17),Datos!M17," - ")</f>
        <v>31</v>
      </c>
      <c r="E17" s="407">
        <f>IF(ISNUMBER(D17/B17),D17/B17," - ")</f>
        <v>31</v>
      </c>
      <c r="F17" s="406">
        <f>IF(ISNUMBER(Datos!N17),Datos!N17," - ")</f>
        <v>72</v>
      </c>
      <c r="G17" s="407">
        <f>IF(ISNUMBER(F17/B17),F17/B17," - ")</f>
        <v>72</v>
      </c>
      <c r="H17" s="406">
        <f>IF(ISNUMBER(Datos!O17),Datos!O17," - ")</f>
        <v>0</v>
      </c>
      <c r="I17" s="407">
        <f t="shared" si="5"/>
        <v>0</v>
      </c>
    </row>
    <row r="18" spans="1:9" ht="14.25" thickTop="1" thickBot="1">
      <c r="A18" s="851" t="str">
        <f>Datos!A18</f>
        <v>TOTAL</v>
      </c>
      <c r="B18" s="852">
        <f>Datos!AO18</f>
        <v>3</v>
      </c>
      <c r="C18" s="854">
        <f>Datos!AR18</f>
        <v>2</v>
      </c>
      <c r="D18" s="852">
        <f>SUBTOTAL(9,D15:D17)</f>
        <v>170</v>
      </c>
      <c r="E18" s="853">
        <f t="shared" si="3"/>
        <v>56.666666666666664</v>
      </c>
      <c r="F18" s="852">
        <f>SUBTOTAL(9,F15:F17)</f>
        <v>1322</v>
      </c>
      <c r="G18" s="853">
        <f t="shared" si="4"/>
        <v>440.66666666666669</v>
      </c>
      <c r="H18" s="852">
        <f>SUBTOTAL(9,H15:H17)</f>
        <v>32</v>
      </c>
      <c r="I18" s="853">
        <f>IF(ISNUMBER(H18/B18),H18/B18," - ")</f>
        <v>10.666666666666666</v>
      </c>
    </row>
    <row r="19" spans="1:9" ht="14.25" thickTop="1" thickBot="1">
      <c r="A19" s="796" t="str">
        <f>Datos!A19</f>
        <v>TOTAL JURISDICCIONES</v>
      </c>
      <c r="B19" s="797">
        <f>Datos!AP19</f>
        <v>2</v>
      </c>
      <c r="C19" s="797">
        <f>Datos!AR19</f>
        <v>2</v>
      </c>
      <c r="D19" s="797">
        <f>SUBTOTAL(9,D8:D18)</f>
        <v>418</v>
      </c>
      <c r="E19" s="798">
        <f>IF(ISNUMBER(D19/B19),D19/B19," - ")</f>
        <v>209</v>
      </c>
      <c r="F19" s="797">
        <f>SUBTOTAL(9,F8:F18)</f>
        <v>1724</v>
      </c>
      <c r="G19" s="798">
        <f>IF(ISNUMBER(F19/B19),F19/B19," - ")</f>
        <v>862</v>
      </c>
      <c r="H19" s="797">
        <f>SUBTOTAL(9,H8:H18)</f>
        <v>723</v>
      </c>
      <c r="I19" s="798">
        <f>IF(ISNUMBER(H19/B19),H19/B19," - ")</f>
        <v>361.5</v>
      </c>
    </row>
    <row r="22" spans="1:9">
      <c r="A22" s="394" t="str">
        <f>Criterios!A4</f>
        <v>Fecha Informe: 03 may. 2024</v>
      </c>
    </row>
    <row r="27" spans="1:9">
      <c r="A27" s="417"/>
    </row>
  </sheetData>
  <sheetProtection algorithmName="SHA-512" hashValue="iLaGMK886eyQ9KQQ/+fXKZDNwC3w/kG1Fo0SN/h7sm0V7j8FEs2KB72hbGhTQ0hF7Lwd/d5P+LojVL4YmKAt+g==" saltValue="WhylvbQsZBY/S3Iz6X/v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CAZORLA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5</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318</v>
      </c>
      <c r="C12" s="437">
        <f>IF(ISNUMBER(Datos!Q12),Datos!Q12," - ")</f>
        <v>269</v>
      </c>
      <c r="D12" s="411">
        <f>IF(ISNUMBER(Datos!R12),Datos!R12," - ")</f>
        <v>471</v>
      </c>
    </row>
    <row r="13" spans="1:4" ht="14.25" thickTop="1" thickBot="1">
      <c r="A13" s="851" t="str">
        <f>Datos!A13</f>
        <v>TOTAL</v>
      </c>
      <c r="B13" s="852">
        <f>SUBTOTAL(9,B9:B12)</f>
        <v>320</v>
      </c>
      <c r="C13" s="856">
        <f>SUBTOTAL(9,C9:C12)</f>
        <v>274</v>
      </c>
      <c r="D13" s="854">
        <f>SUBTOTAL(9,D9:D12)</f>
        <v>473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60</v>
      </c>
      <c r="C16" s="437">
        <f>IF(ISNUMBER(Datos!Q16),Datos!Q16," - ")</f>
        <v>51</v>
      </c>
      <c r="D16" s="411">
        <f>IF(ISNUMBER(Datos!R16),Datos!R16," - ")</f>
        <v>75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60</v>
      </c>
      <c r="C18" s="856">
        <f>SUBTOTAL(9,C15:C17)</f>
        <v>51</v>
      </c>
      <c r="D18" s="854">
        <f>SUBTOTAL(9,D15:D17)</f>
        <v>75</v>
      </c>
    </row>
    <row r="19" spans="1:4" ht="16.5" customHeight="1" thickTop="1" thickBot="1">
      <c r="A19" s="796" t="str">
        <f>Datos!A19</f>
        <v>TOTAL JURISDICCIONES</v>
      </c>
      <c r="B19" s="801">
        <f>SUBTOTAL(9,B8:B18)</f>
        <v>380</v>
      </c>
      <c r="C19" s="802">
        <f>SUBTOTAL(9,C8:C18)</f>
        <v>325</v>
      </c>
      <c r="D19" s="803">
        <f>SUBTOTAL(9,D8:D18)</f>
        <v>548</v>
      </c>
    </row>
    <row r="20" spans="1:4" ht="7.5" customHeight="1"/>
    <row r="21" spans="1:4" ht="6" customHeight="1"/>
    <row r="22" spans="1:4">
      <c r="A22" s="394" t="str">
        <f>Criterios!A4</f>
        <v>Fecha Informe: 03 may. 2024</v>
      </c>
    </row>
    <row r="27" spans="1:4">
      <c r="A27" s="417"/>
    </row>
  </sheetData>
  <sheetProtection algorithmName="SHA-512" hashValue="mS9E/lfCB7ox54WwFEPpJHPKIEJvW2P/4rwzZw52fjQvK45Eo8MnWDhyQBabUaQ0s3Bz2zCQB4SzEXl1Uyo6Fw==" saltValue="VcspF+KJLIbXlMrPkhat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CAZORLA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0.41666666666666669</v>
      </c>
      <c r="C10" s="459">
        <f>IF(ISNUMBER((Datos!J10-Datos!T10)/Datos!T10),(Datos!J10-Datos!T10)/Datos!T10," - ")</f>
        <v>-0.21052631578947367</v>
      </c>
      <c r="D10" s="459">
        <f>IF(ISNUMBER((Datos!K10-Datos!U10)/Datos!U10),(Datos!K10-Datos!U10)/Datos!U10," - ")</f>
        <v>-0.14285714285714285</v>
      </c>
      <c r="E10" s="459">
        <f>IF(ISNUMBER((Datos!L10-Datos!V10)/Datos!V10),(Datos!L10-Datos!V10)/Datos!V10," - ")</f>
        <v>0.17647058823529413</v>
      </c>
      <c r="F10" s="459">
        <f>IF(ISNUMBER((Datos!M10-Datos!W10)/Datos!W10),(Datos!M10-Datos!W10)/Datos!W10," - ")</f>
        <v>0.125</v>
      </c>
      <c r="G10" s="460" t="str">
        <f>IF(ISNUMBER((Datos!N10-Datos!X10)/Datos!X10),(Datos!N10-Datos!X10)/Datos!X10," - ")</f>
        <v xml:space="preserve"> - </v>
      </c>
      <c r="H10" s="458">
        <f>IF(ISNUMBER(((NºAsuntos!G10/NºAsuntos!E10)-Datos!BD10)/Datos!BD10),((NºAsuntos!G10/NºAsuntos!E10)-Datos!BD10)/Datos!BD10," - ")</f>
        <v>8.571428571428584E-2</v>
      </c>
      <c r="I10" s="459">
        <f>IF(ISNUMBER(((NºAsuntos!I10/NºAsuntos!G10)-Datos!BE10)/Datos!BE10),((NºAsuntos!I10/NºAsuntos!G10)-Datos!BE10)/Datos!BE10," - ")</f>
        <v>0.37254901960784331</v>
      </c>
      <c r="J10" s="464">
        <f>IF(ISNUMBER((('Resol  Asuntos'!D10/NºAsuntos!G10)-Datos!BF10)/Datos!BF10),(('Resol  Asuntos'!D10/NºAsuntos!G10)-Datos!BF10)/Datos!BF10," - ")</f>
        <v>0.31250000000000006</v>
      </c>
      <c r="K10" s="465">
        <f>IF(ISNUMBER((((NºAsuntos!C10+NºAsuntos!E10)/NºAsuntos!G10)-Datos!BG10)/Datos!BG10),(((NºAsuntos!C10+NºAsuntos!E10)/NºAsuntos!G10)-Datos!BG10)/Datos!BG10," - ")</f>
        <v>0.20430107526881708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-9.5602294455066923E-3</v>
      </c>
      <c r="C12" s="459">
        <f>IF(ISNUMBER(
   IF(J_V="SI",(Datos!J12-Datos!T12)/Datos!T12,(Datos!J12+Datos!Z12-(Datos!T12+Datos!AH12))/(Datos!T12+Datos!AH12))
     ),IF(J_V="SI",(Datos!J12-Datos!T12)/Datos!T12,(Datos!J12+Datos!Z12-(Datos!T12+Datos!AH12))/(Datos!T12+Datos!AH12))," - ")</f>
        <v>1.263537906137184E-2</v>
      </c>
      <c r="D12" s="459">
        <f>IF(ISNUMBER(
   IF(J_V="SI",(Datos!K12-Datos!U12)/Datos!U12,(Datos!K12+Datos!AA12-(Datos!U12+Datos!AI12))/(Datos!U12+Datos!AI12))
     ),IF(J_V="SI",(Datos!K12-Datos!U12)/Datos!U12,(Datos!K12+Datos!AA12-(Datos!U12+Datos!AI12))/(Datos!U12+Datos!AI12))," - ")</f>
        <v>-2.6785714285714284E-2</v>
      </c>
      <c r="E12" s="459">
        <f>IF(ISNUMBER(
   IF(J_V="SI",(Datos!L12-Datos!V12)/Datos!V12,(Datos!L12+Datos!AB12-(Datos!V12+Datos!AJ12))/(Datos!V12+Datos!AJ12))
     ),IF(J_V="SI",(Datos!L12-Datos!V12)/Datos!V12,(Datos!L12+Datos!AB12-(Datos!V12+Datos!AJ12))/(Datos!V12+Datos!AJ12))," - ")</f>
        <v>5.2123552123552123E-2</v>
      </c>
      <c r="F12" s="459">
        <f>IF(ISNUMBER((Datos!M12-Datos!W12)/Datos!W12),(Datos!M12-Datos!W12)/Datos!W12," - ")</f>
        <v>-1.2396694214876033E-2</v>
      </c>
      <c r="G12" s="460">
        <f>IF(ISNUMBER((Datos!N12-Datos!X12)/Datos!X12),(Datos!N12-Datos!X12)/Datos!X12," - ")</f>
        <v>0.14697406340057637</v>
      </c>
      <c r="H12" s="458">
        <f>IF(ISNUMBER(((NºAsuntos!G12/NºAsuntos!E12)-Datos!BD12)/Datos!BD12),((NºAsuntos!G12/NºAsuntos!E12)-Datos!BD12)/Datos!BD12," - ")</f>
        <v>-3.8929208046855082E-2</v>
      </c>
      <c r="I12" s="459">
        <f>IF(ISNUMBER(((NºAsuntos!I12/NºAsuntos!G12)-Datos!BE12)/Datos!BE12),((NºAsuntos!I12/NºAsuntos!G12)-Datos!BE12)/Datos!BE12," - ")</f>
        <v>8.108108108108103E-2</v>
      </c>
      <c r="J12" s="464">
        <f>IF(ISNUMBER((('Resol  Asuntos'!D12/NºAsuntos!G12)-Datos!BF12)/Datos!BF12),(('Resol  Asuntos'!D12/NºAsuntos!G12)-Datos!BF12)/Datos!BF12," - ")</f>
        <v>-0.29228247362715803</v>
      </c>
      <c r="K12" s="465">
        <f>IF(ISNUMBER((((NºAsuntos!C12+NºAsuntos!E12)/NºAsuntos!G12)-Datos!BG12)/Datos!BG12),(((NºAsuntos!C12+NºAsuntos!E12)/NºAsuntos!G12)-Datos!BG12)/Datos!BG12," - ")</f>
        <v>3.3192896798834533E-2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v>
      </c>
      <c r="C13" s="858">
        <f>IF(ISNUMBER(
   IF(J_V="SI",(Datos!J13-Datos!T13)/Datos!T13,(Datos!J13+Datos!Z13-(Datos!T13+Datos!AH13))/(Datos!T13+Datos!AH13))
     ),IF(J_V="SI",(Datos!J13-Datos!T13)/Datos!T13,(Datos!J13+Datos!Z13-(Datos!T13+Datos!AH13))/(Datos!T13+Datos!AH13))," - ")</f>
        <v>8.8731144631765749E-3</v>
      </c>
      <c r="D13" s="858">
        <f>IF(ISNUMBER(
   IF(J_V="SI",(Datos!K13-Datos!U13)/Datos!U13,(Datos!K13+Datos!AA13-(Datos!U13+Datos!AI13))/(Datos!U13+Datos!AI13))
     ),IF(J_V="SI",(Datos!K13-Datos!U13)/Datos!U13,(Datos!K13+Datos!AA13-(Datos!U13+Datos!AI13))/(Datos!U13+Datos!AI13))," - ")</f>
        <v>-2.821869488536155E-2</v>
      </c>
      <c r="E13" s="858">
        <f>IF(ISNUMBER(
   IF(J_V="SI",(Datos!L13-Datos!V13)/Datos!V13,(Datos!L13+Datos!AB13-(Datos!V13+Datos!AJ13))/(Datos!V13+Datos!AJ13))
     ),IF(J_V="SI",(Datos!L13-Datos!V13)/Datos!V13,(Datos!L13+Datos!AB13-(Datos!V13+Datos!AJ13))/(Datos!V13+Datos!AJ13))," - ")</f>
        <v>5.6074766355140186E-2</v>
      </c>
      <c r="F13" s="859">
        <f>IF(ISNUMBER((Datos!M13-Datos!W13)/Datos!W13),(Datos!M13-Datos!W13)/Datos!W13," - ")</f>
        <v>-8.0000000000000002E-3</v>
      </c>
      <c r="G13" s="860">
        <f>IF(ISNUMBER((Datos!N13-Datos!X13)/Datos!X13),(Datos!N13-Datos!X13)/Datos!X13," - ")</f>
        <v>0.15850144092219021</v>
      </c>
      <c r="H13" s="860">
        <f>IF(ISNUMBER(((NºAsuntos!G13/NºAsuntos!E13)-Datos!BD13)/Datos!BD13),((NºAsuntos!G13/NºAsuntos!E13)-Datos!BD13)/Datos!BD13," - ")</f>
        <v>-3.6765584112403119E-2</v>
      </c>
      <c r="I13" s="860">
        <f>IF(ISNUMBER(((NºAsuntos!I13/NºAsuntos!G13)-Datos!BE13)/Datos!BE13),((NºAsuntos!I13/NºAsuntos!G13)-Datos!BE13)/Datos!BE13," - ")</f>
        <v>8.6741184252930009E-2</v>
      </c>
      <c r="J13" s="860">
        <f>IF(ISNUMBER((('Resol  Asuntos'!D13/NºAsuntos!G13)-Datos!BF13)/Datos!BF13),(('Resol  Asuntos'!D13/NºAsuntos!G13)-Datos!BF13)/Datos!BF13," - ")</f>
        <v>-0.2811226706883771</v>
      </c>
      <c r="K13" s="860">
        <f>IF(ISNUMBER((((NºAsuntos!C13+NºAsuntos!E13)/NºAsuntos!G13)-Datos!BG13)/Datos!BG13),(((NºAsuntos!C13+NºAsuntos!E13)/NºAsuntos!G13)-Datos!BG13)/Datos!BG13," - ")</f>
        <v>3.5229677579982535E-2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-4.0816326530612242E-2</v>
      </c>
      <c r="C16" s="459">
        <f>IF(ISNUMBER(
   IF(D_I="SI",(Datos!J16-Datos!T16)/Datos!T16,(Datos!J16+Datos!AD16-(Datos!T16+Datos!AL16))/(Datos!T16+Datos!AL16))
     ),IF(D_I="SI",(Datos!J16-Datos!T16)/Datos!T16,(Datos!J16+Datos!AD16-(Datos!T16+Datos!AL16))/(Datos!T16+Datos!AL16))," - ")</f>
        <v>0.21788079470198676</v>
      </c>
      <c r="D16" s="459">
        <f>IF(ISNUMBER(
   IF(D_I="SI",(Datos!K16-Datos!U16)/Datos!U16,(Datos!K16+Datos!AE16-(Datos!U16+Datos!AM16))/(Datos!U16+Datos!AM16))
     ),IF(D_I="SI",(Datos!K16-Datos!U16)/Datos!U16,(Datos!K16+Datos!AE16-(Datos!U16+Datos!AM16))/(Datos!U16+Datos!AM16))," - ")</f>
        <v>0.12838709677419355</v>
      </c>
      <c r="E16" s="459">
        <f>IF(ISNUMBER(
   IF(D_I="SI",(Datos!L16-Datos!V16)/Datos!V16,(Datos!L16+Datos!AF16-(Datos!V16+Datos!AN16))/(Datos!V16+Datos!AN16))
     ),IF(D_I="SI",(Datos!L16-Datos!V16)/Datos!V16,(Datos!L16+Datos!AF16-(Datos!V16+Datos!AN16))/(Datos!V16+Datos!AN16))," - ")</f>
        <v>0.40425531914893614</v>
      </c>
      <c r="F16" s="459">
        <f>IF(ISNUMBER((Datos!M16-Datos!W16)/Datos!W16),(Datos!M16-Datos!W16)/Datos!W16," - ")</f>
        <v>-0.13125000000000001</v>
      </c>
      <c r="G16" s="460">
        <f>IF(ISNUMBER((Datos!N16-Datos!X16)/Datos!X16),(Datos!N16-Datos!X16)/Datos!X16," - ")</f>
        <v>0.14784205693296604</v>
      </c>
      <c r="H16" s="458">
        <f>IF(ISNUMBER(((NºAsuntos!G16/NºAsuntos!E16)-Datos!BD16)/Datos!BD16),((NºAsuntos!G16/NºAsuntos!E16)-Datos!BD16)/Datos!BD16," - ")</f>
        <v>-7.3483134241961678E-2</v>
      </c>
      <c r="I16" s="459">
        <f>IF(ISNUMBER(((NºAsuntos!I16/NºAsuntos!G16)-Datos!BE16)/Datos!BE16),((NºAsuntos!I16/NºAsuntos!G16)-Datos!BE16)/Datos!BE16," - ")</f>
        <v>0.24448012846246497</v>
      </c>
      <c r="J16" s="464">
        <f>IF(ISNUMBER((('Resol  Asuntos'!D16/NºAsuntos!G16)-Datos!BF16)/Datos!BF16),(('Resol  Asuntos'!D16/NºAsuntos!G16)-Datos!BF16)/Datos!BF16," - ")</f>
        <v>-0.23009576901086337</v>
      </c>
      <c r="K16" s="465">
        <f>IF(ISNUMBER((((NºAsuntos!C16+NºAsuntos!E16)/NºAsuntos!G16)-Datos!BG16)/Datos!BG16),(((NºAsuntos!C16+NºAsuntos!E16)/NºAsuntos!G16)-Datos!BG16)/Datos!BG16," - ")</f>
        <v>4.7305827180040977E-2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-0.21875</v>
      </c>
      <c r="C17" s="459">
        <f>IF(ISNUMBER(
   IF(D_I="SI",(Datos!J17-Datos!T17)/Datos!T17,(Datos!J17+Datos!AD17-(Datos!T17+Datos!AL17))/(Datos!T17+Datos!AL17))
     ),IF(D_I="SI",(Datos!J17-Datos!T17)/Datos!T17,(Datos!J17+Datos!AD17-(Datos!T17+Datos!AL17))/(Datos!T17+Datos!AL17))," - ")</f>
        <v>0.7931034482758621</v>
      </c>
      <c r="D17" s="459">
        <f>IF(ISNUMBER(
   IF(D_I="SI",(Datos!K17-Datos!U17)/Datos!U17,(Datos!K17+Datos!AE17-(Datos!U17+Datos!AM17))/(Datos!U17+Datos!AM17))
     ),IF(D_I="SI",(Datos!K17-Datos!U17)/Datos!U17,(Datos!K17+Datos!AE17-(Datos!U17+Datos!AM17))/(Datos!U17+Datos!AM17))," - ")</f>
        <v>0.56382978723404253</v>
      </c>
      <c r="E17" s="459">
        <f>IF(ISNUMBER(
   IF(D_I="SI",(Datos!L17-Datos!V17)/Datos!V17,(Datos!L17+Datos!AF17-(Datos!V17+Datos!AN17))/(Datos!V17+Datos!AN17))
     ),IF(D_I="SI",(Datos!L17-Datos!V17)/Datos!V17,(Datos!L17+Datos!AF17-(Datos!V17+Datos!AN17))/(Datos!V17+Datos!AN17))," - ")</f>
        <v>0.36</v>
      </c>
      <c r="F17" s="459">
        <f>IF(ISNUMBER((Datos!M17-Datos!W17)/Datos!W17),(Datos!M17-Datos!W17)/Datos!W17," - ")</f>
        <v>0.40909090909090912</v>
      </c>
      <c r="G17" s="460">
        <f>IF(ISNUMBER((Datos!N17-Datos!X17)/Datos!X17),(Datos!N17-Datos!X17)/Datos!X17," - ")</f>
        <v>0.6</v>
      </c>
      <c r="H17" s="458">
        <f>IF(ISNUMBER(((NºAsuntos!G17/NºAsuntos!E17)-Datos!BD17)/Datos!BD17),((NºAsuntos!G17/NºAsuntos!E17)-Datos!BD17)/Datos!BD17," - ")</f>
        <v>-0.1278641571194763</v>
      </c>
      <c r="I17" s="459">
        <f>IF(ISNUMBER(((NºAsuntos!I17/NºAsuntos!G17)-Datos!BE17)/Datos!BE17),((NºAsuntos!I17/NºAsuntos!G17)-Datos!BE17)/Datos!BE17," - ")</f>
        <v>-0.13034013605442174</v>
      </c>
      <c r="J17" s="464">
        <f>IF(ISNUMBER((('Resol  Asuntos'!D17/NºAsuntos!G17)-Datos!BF17)/Datos!BF17),(('Resol  Asuntos'!D17/NºAsuntos!G17)-Datos!BF17)/Datos!BF17," - ")</f>
        <v>-9.8948670377241768E-2</v>
      </c>
      <c r="K17" s="465">
        <f>IF(ISNUMBER((((NºAsuntos!C17+NºAsuntos!E17)/NºAsuntos!G17)-Datos!BG17)/Datos!BG17),(((NºAsuntos!C17+NºAsuntos!E17)/NºAsuntos!G17)-Datos!BG17)/Datos!BG17," - ")</f>
        <v>-2.7382381524038154E-2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-6.1371841155234655E-2</v>
      </c>
      <c r="C18" s="858">
        <f>IF(ISNUMBER(
   IF(Criterios!B14="SI",(Datos!J18-Datos!T18)/Datos!T18,(Datos!J18+Datos!AD18-(Datos!T18+Datos!AL18))/(Datos!T18+Datos!AL18))
     ),IF(Criterios!B14="SI",(Datos!J18-Datos!T18)/Datos!T18,(Datos!J18+Datos!AD18-(Datos!T18+Datos!AL18))/(Datos!T18+Datos!AL18))," - ")</f>
        <v>0.24921728240450847</v>
      </c>
      <c r="D18" s="858">
        <f>IF(ISNUMBER(
   IF(Criterios!B14="SI",(Datos!K18-Datos!U18)/Datos!U18,(Datos!K18+Datos!AE18-(Datos!U18+Datos!AM18))/(Datos!U18+Datos!AM18))
     ),IF(Criterios!B14="SI",(Datos!K18-Datos!U18)/Datos!U18,(Datos!K18+Datos!AE18-(Datos!U18+Datos!AM18))/(Datos!U18+Datos!AM18))," - ")</f>
        <v>0.15328467153284672</v>
      </c>
      <c r="E18" s="858">
        <f>IF(ISNUMBER(
   IF(Criterios!B14="SI",(Datos!L18-Datos!V18)/Datos!V18,(Datos!L18+Datos!AF18-(Datos!V18+Datos!AN18))/(Datos!V18+Datos!AN18))
     ),IF(Criterios!B14="SI",(Datos!L18-Datos!V18)/Datos!V18,(Datos!L18+Datos!AF18-(Datos!V18+Datos!AN18))/(Datos!V18+Datos!AN18))," - ")</f>
        <v>0.4</v>
      </c>
      <c r="F18" s="859">
        <f>IF(ISNUMBER((Datos!M18-Datos!W18)/Datos!W18),(Datos!M18-Datos!W18)/Datos!W18," - ")</f>
        <v>-6.5934065934065936E-2</v>
      </c>
      <c r="G18" s="860">
        <f>IF(ISNUMBER((Datos!N18-Datos!X18)/Datos!X18),(Datos!N18-Datos!X18)/Datos!X18," - ")</f>
        <v>0.16578483245149911</v>
      </c>
      <c r="H18" s="860">
        <f>IF(ISNUMBER(((NºAsuntos!G18/NºAsuntos!E18)-Datos!BD18)/Datos!BD18),((NºAsuntos!G18/NºAsuntos!E18)-Datos!BD18)/Datos!BD18," - ")</f>
        <v>-7.6794175219069449E-2</v>
      </c>
      <c r="I18" s="860">
        <f>IF(ISNUMBER(((NºAsuntos!I18/NºAsuntos!G18)-Datos!BE18)/Datos!BE18),((NºAsuntos!I18/NºAsuntos!G18)-Datos!BE18)/Datos!BE18," - ")</f>
        <v>0.21392405063291131</v>
      </c>
      <c r="J18" s="860">
        <f>IF(ISNUMBER((('Resol  Asuntos'!D18/NºAsuntos!G18)-Datos!BF18)/Datos!BF18),(('Resol  Asuntos'!D18/NºAsuntos!G18)-Datos!BF18)/Datos!BF18," - ")</f>
        <v>-0.1900820698289053</v>
      </c>
      <c r="K18" s="860">
        <f>IF(ISNUMBER((((NºAsuntos!C18+NºAsuntos!E18)/NºAsuntos!G18)-Datos!BG18)/Datos!BG18),(((NºAsuntos!C18+NºAsuntos!E18)/NºAsuntos!G18)-Datos!BG18)/Datos!BG18," - ")</f>
        <v>4.3375032084622393E-2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-2.0935960591133004E-2</v>
      </c>
      <c r="C19" s="805">
        <f>IF(ISNUMBER(
   IF(J_V="SI",(Datos!J19-Datos!T19)/Datos!T19,(Datos!J19+Datos!Z19-(Datos!T19+Datos!AH19))/(Datos!T19+Datos!AH19))
     ),IF(J_V="SI",(Datos!J19-Datos!T19)/Datos!T19,(Datos!J19+Datos!Z19-(Datos!T19+Datos!AH19))/(Datos!T19+Datos!AH19))," - ")</f>
        <v>0.14977973568281938</v>
      </c>
      <c r="D19" s="805">
        <f>IF(ISNUMBER(
   IF(J_V="SI",(Datos!K19-Datos!U19)/Datos!U19,(Datos!K19+Datos!AA19-(Datos!U19+Datos!AI19))/(Datos!U19+Datos!AI19))
     ),IF(J_V="SI",(Datos!K19-Datos!U19)/Datos!U19,(Datos!K19+Datos!AA19-(Datos!U19+Datos!AI19))/(Datos!U19+Datos!AI19))," - ")</f>
        <v>7.9193664506839456E-2</v>
      </c>
      <c r="E19" s="805">
        <f>IF(ISNUMBER(
   IF(J_V="SI",(Datos!L19-Datos!V19)/Datos!V19,(Datos!L19+Datos!AB19-(Datos!V19+Datos!AJ19))/(Datos!V19+Datos!AJ19))
     ),IF(J_V="SI",(Datos!L19-Datos!V19)/Datos!V19,(Datos!L19+Datos!AB19-(Datos!V19+Datos!AJ19))/(Datos!V19+Datos!AJ19))," - ")</f>
        <v>0.16855345911949685</v>
      </c>
      <c r="F19" s="806">
        <f>IF(ISNUMBER((Datos!M19-Datos!W19)/Datos!W19),(Datos!M19-Datos!W19)/Datos!W19," - ")</f>
        <v>-3.2407407407407406E-2</v>
      </c>
      <c r="G19" s="807">
        <f>IF(ISNUMBER((Datos!N19-Datos!X19)/Datos!X19),(Datos!N19-Datos!X19)/Datos!X19," - ")</f>
        <v>0.16407832545577314</v>
      </c>
      <c r="H19" s="808">
        <f>IF(ISNUMBER((Tasas!B19-Datos!BD19)/Datos!BD19),(Tasas!B19-Datos!BD19)/Datos!BD19," - ")</f>
        <v>-6.1390950792902119E-2</v>
      </c>
      <c r="I19" s="809">
        <f>IF(ISNUMBER((Tasas!C19-Datos!BE19)/Datos!BE19),(Tasas!C19-Datos!BE19)/Datos!BE19," - ")</f>
        <v>8.2802371392248775E-2</v>
      </c>
      <c r="J19" s="810">
        <f>IF(ISNUMBER((Tasas!D19-Datos!BF19)/Datos!BF19),(Tasas!D19-Datos!BF19)/Datos!BF19," - ")</f>
        <v>-0.27872212760089599</v>
      </c>
      <c r="K19" s="810">
        <f>IF(ISNUMBER((Tasas!E19-Datos!BG19)/Datos!BG19),(Tasas!E19-Datos!BG19)/Datos!BG19," - ")</f>
        <v>2.9080284292092178E-2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nQ9RjLvPtktbtZCY+tEj/DDg+LkdJuFUHFmIQrQ2f6rEeSu7tbLJmAdlloGQdT+qNlruHPK4vZKACDe2iSOkg==" saltValue="xWIv1KN7gJUbhhTXo/oZ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CAZORLA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v>
      </c>
      <c r="C10" s="446">
        <f>IF(ISNUMBER(NºAsuntos!I10/NºAsuntos!G10),NºAsuntos!I10/NºAsuntos!G10," - ")</f>
        <v>1.6666666666666667</v>
      </c>
      <c r="D10" s="447">
        <f>IF(ISNUMBER('Resol  Asuntos'!D10/NºAsuntos!G10),'Resol  Asuntos'!D10/NºAsuntos!G10," - ")</f>
        <v>0.75</v>
      </c>
      <c r="E10" s="448">
        <f>IF(ISNUMBER((NºAsuntos!C10+NºAsuntos!E10)/NºAsuntos!G10),(NºAsuntos!C10+NºAsuntos!E10)/NºAsuntos!G10," - ")</f>
        <v>2.6666666666666665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0.97147950089126556</v>
      </c>
      <c r="C12" s="446">
        <f>IF(ISNUMBER(NºAsuntos!I12/NºAsuntos!G12),NºAsuntos!I12/NºAsuntos!G12," - ")</f>
        <v>0.5</v>
      </c>
      <c r="D12" s="447">
        <f>IF(ISNUMBER('Resol  Asuntos'!D12/NºAsuntos!G12),'Resol  Asuntos'!D12/NºAsuntos!G12," - ")</f>
        <v>0.21926605504587157</v>
      </c>
      <c r="E12" s="448">
        <f>IF(ISNUMBER((NºAsuntos!C12+NºAsuntos!E12)/NºAsuntos!G12),(NºAsuntos!C12+NºAsuntos!E12)/NºAsuntos!G12," - ")</f>
        <v>1.5045871559633028</v>
      </c>
      <c r="G12" s="466"/>
    </row>
    <row r="13" spans="1:7" ht="14.25" thickTop="1" thickBot="1">
      <c r="A13" s="851" t="str">
        <f>Datos!A13</f>
        <v>TOTAL</v>
      </c>
      <c r="B13" s="861">
        <f>IF(ISNUMBER(NºAsuntos!G13/NºAsuntos!E13),NºAsuntos!G13/NºAsuntos!E13," - ")</f>
        <v>0.96921723834652596</v>
      </c>
      <c r="C13" s="862">
        <f>IF(ISNUMBER(NºAsuntos!I13/NºAsuntos!G13),NºAsuntos!I13/NºAsuntos!G13," - ")</f>
        <v>0.51270417422867509</v>
      </c>
      <c r="D13" s="863">
        <f>IF(ISNUMBER('Resol  Asuntos'!D13/NºAsuntos!G13),'Resol  Asuntos'!D13/NºAsuntos!G13," - ")</f>
        <v>0.22504537205081671</v>
      </c>
      <c r="E13" s="864">
        <f>IF(ISNUMBER((NºAsuntos!C13+NºAsuntos!E13)/NºAsuntos!G13),(NºAsuntos!C13+NºAsuntos!E13)/NºAsuntos!G13," - ")</f>
        <v>1.5172413793103448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0.95106035889070151</v>
      </c>
      <c r="C16" s="446">
        <f>IF(ISNUMBER(NºAsuntos!I16/NºAsuntos!G16),NºAsuntos!I16/NºAsuntos!G16," - ")</f>
        <v>0.18867924528301888</v>
      </c>
      <c r="D16" s="447">
        <f>IF(ISNUMBER('Resol  Asuntos'!D16/NºAsuntos!G16),'Resol  Asuntos'!D16/NºAsuntos!G16," - ")</f>
        <v>7.947398513436249E-2</v>
      </c>
      <c r="E16" s="448">
        <f>IF(ISNUMBER((NºAsuntos!C16+NºAsuntos!E16)/NºAsuntos!G16),(NºAsuntos!C16+NºAsuntos!E16)/NºAsuntos!G16," - ")</f>
        <v>1.1858204688393368</v>
      </c>
      <c r="G16" s="466"/>
    </row>
    <row r="17" spans="1:7" ht="13.5" thickBot="1">
      <c r="A17" s="405" t="str">
        <f>Datos!A17</f>
        <v>Jdos. Violencia contra la mujer</v>
      </c>
      <c r="B17" s="445">
        <f>IF(ISNUMBER(NºAsuntos!G17/NºAsuntos!E17),NºAsuntos!G17/NºAsuntos!E17," - ")</f>
        <v>0.94230769230769229</v>
      </c>
      <c r="C17" s="446">
        <f>IF(ISNUMBER(NºAsuntos!I17/NºAsuntos!G17),NºAsuntos!I17/NºAsuntos!G17," - ")</f>
        <v>0.23129251700680273</v>
      </c>
      <c r="D17" s="447">
        <f>IF(ISNUMBER('Resol  Asuntos'!D17/NºAsuntos!G17),'Resol  Asuntos'!D17/NºAsuntos!G17," - ")</f>
        <v>0.21088435374149661</v>
      </c>
      <c r="E17" s="448">
        <f>IF(ISNUMBER((NºAsuntos!C17+NºAsuntos!E17)/NºAsuntos!G17),(NºAsuntos!C17+NºAsuntos!E17)/NºAsuntos!G17," - ")</f>
        <v>1.2312925170068028</v>
      </c>
      <c r="G17" s="466"/>
    </row>
    <row r="18" spans="1:7" ht="14.25" thickTop="1" thickBot="1">
      <c r="A18" s="851" t="str">
        <f>Datos!A18</f>
        <v>TOTAL</v>
      </c>
      <c r="B18" s="861">
        <f>IF(ISNUMBER(NºAsuntos!G18/NºAsuntos!E18),NºAsuntos!G18/NºAsuntos!E18," - ")</f>
        <v>0.9503759398496241</v>
      </c>
      <c r="C18" s="862">
        <f>IF(ISNUMBER(NºAsuntos!I18/NºAsuntos!G18),NºAsuntos!I18/NºAsuntos!G18," - ")</f>
        <v>0.19198312236286919</v>
      </c>
      <c r="D18" s="865">
        <f>IF(ISNUMBER('Resol  Asuntos'!D18/NºAsuntos!G18),'Resol  Asuntos'!D18/NºAsuntos!G18," - ")</f>
        <v>8.9662447257383968E-2</v>
      </c>
      <c r="E18" s="864">
        <f>IF(ISNUMBER((NºAsuntos!C18+NºAsuntos!E18)/NºAsuntos!G18),(NºAsuntos!C18+NºAsuntos!E18)/NºAsuntos!G18," - ")</f>
        <v>1.1893459915611815</v>
      </c>
      <c r="G18" s="466"/>
    </row>
    <row r="19" spans="1:7" ht="15.75" customHeight="1" thickTop="1" thickBot="1">
      <c r="A19" s="796" t="str">
        <f>Datos!A19</f>
        <v>TOTAL JURISDICCIONES</v>
      </c>
      <c r="B19" s="811">
        <f>IF(ISNUMBER(NºAsuntos!G19/NºAsuntos!E19),NºAsuntos!G19/NºAsuntos!E19," - ")</f>
        <v>0.95721583652618136</v>
      </c>
      <c r="C19" s="812">
        <f>IF(ISNUMBER(NºAsuntos!I19/NºAsuntos!G19),NºAsuntos!I19/NºAsuntos!G19," - ")</f>
        <v>0.30987324883255501</v>
      </c>
      <c r="D19" s="813">
        <f>IF(ISNUMBER('Resol  Asuntos'!D19/NºAsuntos!G19),'Resol  Asuntos'!D19/NºAsuntos!G19," - ")</f>
        <v>0.13942628418945963</v>
      </c>
      <c r="E19" s="814">
        <f>IF(ISNUMBER((NºAsuntos!C19+NºAsuntos!E19)/NºAsuntos!G19),(NºAsuntos!C19+NºAsuntos!E19)/NºAsuntos!G19," - ")</f>
        <v>1.3098732488325551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quuzPljc/B8FzDV40DJ5SEsGrvEtnLOKtLUgFrKjxuuonOKgS+S5I0dPCLf3XycB+plPYfVFQ1m+1HKDTAQiQ==" saltValue="AKH0cB5NcbO2IedsukMg0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CAZORLA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17</v>
      </c>
      <c r="G10" s="336">
        <f>IF(ISNUMBER(Datos!I10),Datos!I10," - ")</f>
        <v>17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5</v>
      </c>
      <c r="Y10" s="337">
        <f t="shared" ref="Y10:Y12" si="0">SUM(W10:X10)</f>
        <v>17</v>
      </c>
      <c r="Z10" s="338" t="str">
        <f>IF(ISNUMBER(Datos!CC10),Datos!CC10," - ")</f>
        <v xml:space="preserve"> - </v>
      </c>
      <c r="AA10" s="335">
        <f>IF(ISNUMBER(Datos!L10),Datos!L10,"-")</f>
        <v>20</v>
      </c>
      <c r="AB10" s="337">
        <f>IF(ISNUMBER(Datos!R10),Datos!R10," - ")</f>
        <v>2</v>
      </c>
      <c r="AC10" s="337">
        <f t="shared" ref="AC10:AC12" si="1">IF(ISNUMBER(AA10+AB10),AA10+AB10," - ")</f>
        <v>22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0.8</v>
      </c>
      <c r="AM10" s="263">
        <f>IF(ISNUMBER(((NºAsuntos!I10/NºAsuntos!G10)*11)/factor_trimestre),((NºAsuntos!I10/NºAsuntos!G10)*11)/factor_trimestre," - ")</f>
        <v>18.333333333333336</v>
      </c>
      <c r="AN10" s="247">
        <f>IF(ISNUMBER('Resol  Asuntos'!D10/NºAsuntos!G10),'Resol  Asuntos'!D10/NºAsuntos!G10," - ")</f>
        <v>0.75</v>
      </c>
      <c r="AO10" s="248">
        <f>IF(ISNUMBER((NºAsuntos!C10+NºAsuntos!E10)/NºAsuntos!G10),(NºAsuntos!C10+NºAsuntos!E10)/NºAsuntos!G10," - ")</f>
        <v>2.6666666666666665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269</v>
      </c>
      <c r="Y12" s="337">
        <f t="shared" si="0"/>
        <v>269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471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239</v>
      </c>
      <c r="AJ12" s="232" t="str">
        <f>IF(ISNUMBER(Datos!BW12),Datos!BW12," - ")</f>
        <v xml:space="preserve"> - </v>
      </c>
      <c r="AK12" s="231" t="str">
        <f>IF(ISNUMBER(Datos!BX12),Datos!BX12," - ")</f>
        <v xml:space="preserve"> - </v>
      </c>
      <c r="AL12" s="246">
        <f>IF(ISNUMBER(NºAsuntos!G12/NºAsuntos!E12),NºAsuntos!G12/NºAsuntos!E12," - ")</f>
        <v>0.97147950089126556</v>
      </c>
      <c r="AM12" s="263">
        <f>IF(ISNUMBER(((NºAsuntos!I12/NºAsuntos!G12)*11)/factor_trimestre),((NºAsuntos!I12/NºAsuntos!G12)*11)/factor_trimestre," - ")</f>
        <v>5.5</v>
      </c>
      <c r="AN12" s="247">
        <f>IF(ISNUMBER('Resol  Asuntos'!D12/NºAsuntos!G12),'Resol  Asuntos'!D12/NºAsuntos!G12," - ")</f>
        <v>0.21926605504587157</v>
      </c>
      <c r="AO12" s="248">
        <f>IF(ISNUMBER((NºAsuntos!C12+NºAsuntos!E12)/NºAsuntos!G12),(NºAsuntos!C12+NºAsuntos!E12)/NºAsuntos!G12," - ")</f>
        <v>1.5045871559633028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17</v>
      </c>
      <c r="G13" s="869">
        <f t="shared" si="3"/>
        <v>17</v>
      </c>
      <c r="H13" s="868">
        <f t="shared" si="3"/>
        <v>0</v>
      </c>
      <c r="I13" s="870">
        <f t="shared" si="3"/>
        <v>0</v>
      </c>
      <c r="J13" s="870">
        <f t="shared" si="3"/>
        <v>0</v>
      </c>
      <c r="K13" s="870">
        <f t="shared" si="3"/>
        <v>0</v>
      </c>
      <c r="L13" s="870">
        <f t="shared" si="3"/>
        <v>320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274</v>
      </c>
      <c r="Y13" s="871">
        <f t="shared" si="4"/>
        <v>286</v>
      </c>
      <c r="Z13" s="871">
        <f t="shared" si="4"/>
        <v>0</v>
      </c>
      <c r="AA13" s="871">
        <f t="shared" si="4"/>
        <v>20</v>
      </c>
      <c r="AB13" s="871">
        <f t="shared" si="4"/>
        <v>473</v>
      </c>
      <c r="AC13" s="871">
        <f t="shared" si="4"/>
        <v>22</v>
      </c>
      <c r="AD13" s="871">
        <f t="shared" si="4"/>
        <v>0</v>
      </c>
      <c r="AE13" s="875">
        <f t="shared" si="4"/>
        <v>0</v>
      </c>
      <c r="AF13" s="868">
        <f t="shared" si="4"/>
        <v>0</v>
      </c>
      <c r="AG13" s="876">
        <f t="shared" si="4"/>
        <v>0</v>
      </c>
      <c r="AH13" s="873">
        <f t="shared" si="4"/>
        <v>0</v>
      </c>
      <c r="AI13" s="868">
        <f t="shared" si="4"/>
        <v>248</v>
      </c>
      <c r="AJ13" s="870">
        <f t="shared" si="4"/>
        <v>0</v>
      </c>
      <c r="AK13" s="873">
        <f>SUBTOTAL(9,AK9:AK12)</f>
        <v>0</v>
      </c>
      <c r="AL13" s="877">
        <f>IF(ISNUMBER(NºAsuntos!G13/NºAsuntos!E13),NºAsuntos!G13/NºAsuntos!E13," - ")</f>
        <v>0.96921723834652596</v>
      </c>
      <c r="AM13" s="877">
        <f>IF(ISNUMBER(((NºAsuntos!I13/NºAsuntos!G13)*11)/factor_trimestre),((NºAsuntos!I13/NºAsuntos!G13)*11)/factor_trimestre," - ")</f>
        <v>5.6397459165154258</v>
      </c>
      <c r="AN13" s="878">
        <f>IF(ISNUMBER('Resol  Asuntos'!D13/NºAsuntos!G13),'Resol  Asuntos'!D13/NºAsuntos!G13," - ")</f>
        <v>0.22504537205081671</v>
      </c>
      <c r="AO13" s="879">
        <f>IF(ISNUMBER((NºAsuntos!C13+NºAsuntos!E13)/NºAsuntos!G13),(NºAsuntos!C13+NºAsuntos!E13)/NºAsuntos!G13," - ")</f>
        <v>1.5172413793103448</v>
      </c>
      <c r="AP13" s="880" t="str">
        <f t="shared" si="2"/>
        <v xml:space="preserve"> - </v>
      </c>
      <c r="AQ13" s="880">
        <f>IF(ISNUMBER((H13-W13+K13)/(F13)),(H13-W13+K13)/(F13)," - ")</f>
        <v>-0.70588235294117652</v>
      </c>
      <c r="AR13" s="881">
        <f>IF(ISNUMBER((Datos!P13-Datos!Q13)/(Datos!R13-Datos!P13+Datos!Q13)),(Datos!P13-Datos!Q13)/(Datos!R13-Datos!P13+Datos!Q13)," - ")</f>
        <v>0.10772833723653395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240</v>
      </c>
      <c r="G16" s="336">
        <f>IF(ISNUMBER(IF(D_I="SI",Datos!I16,Datos!I16+Datos!AC16)),IF(D_I="SI",Datos!I16,Datos!I16+Datos!AC16)," - ")</f>
        <v>235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1749</v>
      </c>
      <c r="X16" s="229">
        <f>IF(ISNUMBER(Datos!Q16),Datos!Q16," - ")</f>
        <v>51</v>
      </c>
      <c r="Y16" s="337">
        <f t="shared" ref="Y16:Y17" si="7">SUM(W16:X16)</f>
        <v>1800</v>
      </c>
      <c r="Z16" s="338" t="str">
        <f>IF(ISNUMBER(Datos!CC16),Datos!CC16," - ")</f>
        <v xml:space="preserve"> - </v>
      </c>
      <c r="AA16" s="335">
        <f>IF(ISNUMBER(IF(D_I="SI",Datos!L16,Datos!L16+Datos!AF16)),IF(D_I="SI",Datos!L16,Datos!L16+Datos!AF16)," - ")</f>
        <v>330</v>
      </c>
      <c r="AB16" s="337">
        <f>IF(ISNUMBER(Datos!R16),Datos!R16," - ")</f>
        <v>75</v>
      </c>
      <c r="AC16" s="337">
        <f t="shared" si="6"/>
        <v>405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139</v>
      </c>
      <c r="AJ16" s="234" t="str">
        <f>IF(ISNUMBER(Datos!BW16),Datos!BW16," - ")</f>
        <v xml:space="preserve"> - </v>
      </c>
      <c r="AK16" s="235" t="str">
        <f>IF(ISNUMBER(Datos!BX16),Datos!BX16," - ")</f>
        <v xml:space="preserve"> - </v>
      </c>
      <c r="AL16" s="246">
        <f>IF(ISNUMBER(NºAsuntos!G16/NºAsuntos!E16),NºAsuntos!G16/NºAsuntos!E16," - ")</f>
        <v>0.95106035889070151</v>
      </c>
      <c r="AM16" s="263">
        <f>IF(ISNUMBER(((NºAsuntos!I16/NºAsuntos!G16)*11)/factor_trimestre),((NºAsuntos!I16/NºAsuntos!G16)*11)/factor_trimestre," - ")</f>
        <v>2.0754716981132075</v>
      </c>
      <c r="AN16" s="247">
        <f>IF(ISNUMBER('Resol  Asuntos'!D16/NºAsuntos!G16),'Resol  Asuntos'!D16/NºAsuntos!G16," - ")</f>
        <v>7.947398513436249E-2</v>
      </c>
      <c r="AO16" s="248">
        <f>IF(ISNUMBER((NºAsuntos!C16+NºAsuntos!E16)/NºAsuntos!G16),(NºAsuntos!C16+NºAsuntos!E16)/NºAsuntos!G16," - ")</f>
        <v>1.1858204688393368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147</v>
      </c>
      <c r="X17" s="229">
        <f>IF(ISNUMBER(Datos!Q17),Datos!Q17," - ")</f>
        <v>0</v>
      </c>
      <c r="Y17" s="337">
        <f t="shared" si="7"/>
        <v>147</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31</v>
      </c>
      <c r="AJ17" s="234" t="str">
        <f>IF(ISNUMBER(Datos!BW17),Datos!BW17," - ")</f>
        <v xml:space="preserve"> - </v>
      </c>
      <c r="AK17" s="235" t="str">
        <f>IF(ISNUMBER(Datos!BX17),Datos!BX17," - ")</f>
        <v xml:space="preserve"> - </v>
      </c>
      <c r="AL17" s="246">
        <f>IF(ISNUMBER(NºAsuntos!G17/NºAsuntos!E17),NºAsuntos!G17/NºAsuntos!E17," - ")</f>
        <v>0.94230769230769229</v>
      </c>
      <c r="AM17" s="263">
        <f>IF(ISNUMBER(((NºAsuntos!I17/NºAsuntos!G17)*11)/factor_trimestre),((NºAsuntos!I17/NºAsuntos!G17)*11)/factor_trimestre," - ")</f>
        <v>2.5442176870748301</v>
      </c>
      <c r="AN17" s="247">
        <f>IF(ISNUMBER('Resol  Asuntos'!D17/NºAsuntos!G17),'Resol  Asuntos'!D17/NºAsuntos!G17," - ")</f>
        <v>0.21088435374149661</v>
      </c>
      <c r="AO17" s="248">
        <f>IF(ISNUMBER((NºAsuntos!C17+NºAsuntos!E17)/NºAsuntos!G17),(NºAsuntos!C17+NºAsuntos!E17)/NºAsuntos!G17," - ")</f>
        <v>1.2312925170068028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240</v>
      </c>
      <c r="G18" s="869">
        <f>SUBTOTAL(9,G15:G17)</f>
        <v>260</v>
      </c>
      <c r="H18" s="868">
        <f t="shared" ref="H18:O18" si="10">SUBTOTAL(9,H14:H17)</f>
        <v>0</v>
      </c>
      <c r="I18" s="870">
        <f t="shared" si="10"/>
        <v>0</v>
      </c>
      <c r="J18" s="870">
        <f t="shared" si="10"/>
        <v>0</v>
      </c>
      <c r="K18" s="870">
        <f t="shared" si="10"/>
        <v>0</v>
      </c>
      <c r="L18" s="870">
        <f t="shared" si="10"/>
        <v>60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1896</v>
      </c>
      <c r="X18" s="870">
        <f t="shared" si="11"/>
        <v>51</v>
      </c>
      <c r="Y18" s="871">
        <f t="shared" si="11"/>
        <v>1947</v>
      </c>
      <c r="Z18" s="871">
        <f t="shared" si="11"/>
        <v>0</v>
      </c>
      <c r="AA18" s="871">
        <f t="shared" si="11"/>
        <v>364</v>
      </c>
      <c r="AB18" s="871">
        <f t="shared" si="11"/>
        <v>75</v>
      </c>
      <c r="AC18" s="871">
        <f t="shared" si="11"/>
        <v>439</v>
      </c>
      <c r="AD18" s="871">
        <f t="shared" si="11"/>
        <v>0</v>
      </c>
      <c r="AE18" s="875">
        <f t="shared" si="11"/>
        <v>0</v>
      </c>
      <c r="AF18" s="868">
        <f t="shared" si="11"/>
        <v>0</v>
      </c>
      <c r="AG18" s="876">
        <f t="shared" si="11"/>
        <v>0</v>
      </c>
      <c r="AH18" s="873">
        <f t="shared" si="11"/>
        <v>0</v>
      </c>
      <c r="AI18" s="868">
        <f t="shared" si="11"/>
        <v>170</v>
      </c>
      <c r="AJ18" s="870">
        <f t="shared" si="11"/>
        <v>0</v>
      </c>
      <c r="AK18" s="873">
        <f t="shared" si="11"/>
        <v>0</v>
      </c>
      <c r="AL18" s="877">
        <f>IF(ISNUMBER(NºAsuntos!G18/NºAsuntos!E18),NºAsuntos!G18/NºAsuntos!E18," - ")</f>
        <v>0.9503759398496241</v>
      </c>
      <c r="AM18" s="877">
        <f>IF(ISNUMBER(((NºAsuntos!I18/NºAsuntos!G18)*11)/factor_trimestre),((NºAsuntos!I18/NºAsuntos!G18)*11)/factor_trimestre," - ")</f>
        <v>2.111814345991561</v>
      </c>
      <c r="AN18" s="878">
        <f>IF(ISNUMBER('Resol  Asuntos'!D18/NºAsuntos!G18),'Resol  Asuntos'!D18/NºAsuntos!G18," - ")</f>
        <v>8.9662447257383968E-2</v>
      </c>
      <c r="AO18" s="879">
        <f>IF(ISNUMBER((NºAsuntos!C18+NºAsuntos!E18)/NºAsuntos!G18),(NºAsuntos!C18+NºAsuntos!E18)/NºAsuntos!G18," - ")</f>
        <v>1.1893459915611815</v>
      </c>
      <c r="AP18" s="880" t="str">
        <f t="shared" si="2"/>
        <v xml:space="preserve"> - </v>
      </c>
      <c r="AQ18" s="880">
        <f>IF(ISNUMBER((H18-W18+K18)/(F18)),(H18-W18+K18)/(F18)," - ")</f>
        <v>-7.9</v>
      </c>
      <c r="AR18" s="881">
        <f>IF(ISNUMBER((Datos!P18-Datos!Q18)/(Datos!R18-Datos!P18+Datos!Q18)),(Datos!P18-Datos!Q18)/(Datos!R18-Datos!P18+Datos!Q18)," - ")</f>
        <v>0.13636363636363635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257</v>
      </c>
      <c r="G19" s="824">
        <f t="shared" si="13"/>
        <v>277</v>
      </c>
      <c r="H19" s="823">
        <f t="shared" si="13"/>
        <v>0</v>
      </c>
      <c r="I19" s="825">
        <f t="shared" si="13"/>
        <v>0</v>
      </c>
      <c r="J19" s="825">
        <f t="shared" si="13"/>
        <v>0</v>
      </c>
      <c r="K19" s="884">
        <f t="shared" si="13"/>
        <v>0</v>
      </c>
      <c r="L19" s="825">
        <f t="shared" si="13"/>
        <v>380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1908</v>
      </c>
      <c r="X19" s="824">
        <f t="shared" si="14"/>
        <v>325</v>
      </c>
      <c r="Y19" s="831">
        <f t="shared" si="14"/>
        <v>2233</v>
      </c>
      <c r="Z19" s="831">
        <f t="shared" si="14"/>
        <v>0</v>
      </c>
      <c r="AA19" s="831">
        <f t="shared" si="14"/>
        <v>384</v>
      </c>
      <c r="AB19" s="831">
        <f t="shared" si="14"/>
        <v>548</v>
      </c>
      <c r="AC19" s="831">
        <f t="shared" si="14"/>
        <v>461</v>
      </c>
      <c r="AD19" s="831">
        <f t="shared" si="14"/>
        <v>0</v>
      </c>
      <c r="AE19" s="833">
        <f t="shared" si="14"/>
        <v>0</v>
      </c>
      <c r="AF19" s="834">
        <f t="shared" si="14"/>
        <v>0</v>
      </c>
      <c r="AG19" s="835">
        <f t="shared" si="14"/>
        <v>0</v>
      </c>
      <c r="AH19" s="833">
        <f t="shared" si="14"/>
        <v>0</v>
      </c>
      <c r="AI19" s="823">
        <f t="shared" si="14"/>
        <v>418</v>
      </c>
      <c r="AJ19" s="823">
        <f t="shared" si="14"/>
        <v>0</v>
      </c>
      <c r="AK19" s="833">
        <f t="shared" si="14"/>
        <v>0</v>
      </c>
      <c r="AL19" s="887">
        <f>IF(ISNUMBER(NºAsuntos!G19/NºAsuntos!E19),NºAsuntos!G19/NºAsuntos!E19," - ")</f>
        <v>0.95721583652618136</v>
      </c>
      <c r="AM19" s="888">
        <f>IF(ISNUMBER(((NºAsuntos!I19/NºAsuntos!G19)*11)/factor_trimestre),((NºAsuntos!I19/NºAsuntos!G19)*11)/factor_trimestre," - ")</f>
        <v>3.4086057371581053</v>
      </c>
      <c r="AN19" s="888">
        <f>IF(ISNUMBER('Resol  Asuntos'!D19/NºAsuntos!G19),'Resol  Asuntos'!D19/NºAsuntos!G19," - ")</f>
        <v>0.13942628418945963</v>
      </c>
      <c r="AO19" s="889">
        <f>IF(ISNUMBER((NºAsuntos!C19+NºAsuntos!E19)/NºAsuntos!G19),(NºAsuntos!C19+NºAsuntos!E19)/NºAsuntos!G19," - ")</f>
        <v>1.3098732488325551</v>
      </c>
      <c r="AP19" s="890" t="str">
        <f t="shared" si="2"/>
        <v xml:space="preserve"> - </v>
      </c>
      <c r="AQ19" s="891">
        <f>IF(OR(ISNUMBER(FIND("01",Criterios!A8,1)),ISNUMBER(FIND("02",Criterios!A8,1)),ISNUMBER(FIND("03",Criterios!A8,1)),ISNUMBER(FIND("04",Criterios!A8,1))),(I19-W19+K19)/(F19-K19),(H19-W19+K19)/(F19-K19))</f>
        <v>-7.4241245136186773</v>
      </c>
      <c r="AR19" s="892">
        <f>IF(ISNUMBER((Datos!P19-Datos!Q19)/(Datos!R19-Datos!P19+Datos!Q19)),(Datos!P19-Datos!Q19)/(Datos!R19-Datos!P19+Datos!Q19)," - ")</f>
        <v>0.11156186612576065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128.74911002928653</v>
      </c>
      <c r="G21" s="256">
        <f>IF(ISNUMBER(STDEV(G8:G18)),STDEV(G8:G18),"-")</f>
        <v>125.14471622885243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969.96685510382258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101.3955949076027</v>
      </c>
      <c r="AJ21" s="255">
        <f t="shared" si="18"/>
        <v>0</v>
      </c>
      <c r="AK21" s="257">
        <f t="shared" si="18"/>
        <v>0</v>
      </c>
      <c r="AL21" s="252">
        <f t="shared" si="18"/>
        <v>6.5062202588148391E-2</v>
      </c>
      <c r="AM21" s="253">
        <f t="shared" si="18"/>
        <v>6.2441374085312686</v>
      </c>
      <c r="AN21" s="253">
        <f t="shared" si="18"/>
        <v>0.2477755902110817</v>
      </c>
      <c r="AO21" s="254">
        <f t="shared" si="18"/>
        <v>0.56821618405820484</v>
      </c>
      <c r="AP21" s="294" t="str">
        <f t="shared" si="18"/>
        <v>-</v>
      </c>
      <c r="AQ21" s="295">
        <f t="shared" si="18"/>
        <v>5.0870093728891046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tQLZkhwaL/2rAWoKcPGcqFPimhJ/hSLrt40MTC6lV4NHRZZt7AfSTdA6qcbVVLN5pNA2oJJOGYIZqB9iIQJyw==" saltValue="Q9gRiiTMSDQXVMjsjD0l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CAZORLA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0.41666666666666669</v>
      </c>
      <c r="E10" s="351">
        <f>IF(ISNUMBER((Datos!J10-Datos!T10)/Datos!T10),(Datos!J10-Datos!T10)/Datos!T10," - ")</f>
        <v>-0.21052631578947367</v>
      </c>
      <c r="F10" s="351">
        <f>IF(ISNUMBER((Datos!K10-Datos!U10)/Datos!U10),(Datos!K10-Datos!U10)/Datos!U10," - ")</f>
        <v>-0.14285714285714285</v>
      </c>
      <c r="G10" s="352">
        <f>IF(ISNUMBER((Datos!L10-Datos!V10)/Datos!V10),(Datos!L10-Datos!V10)/Datos!V10," - ")</f>
        <v>0.17647058823529413</v>
      </c>
      <c r="H10" s="233">
        <f>IF(ISNUMBER((Datos!M10-Datos!W10)/Datos!W10),(Datos!M10-Datos!W10)/Datos!W10," - ")</f>
        <v>0.125</v>
      </c>
      <c r="I10" s="353">
        <f>IF(ISNUMBER((Tasas!C10-Datos!BE10)/Datos!BE10),(Tasas!C10-Datos!BE10)/Datos!BE10," - ")</f>
        <v>0.37254901960784331</v>
      </c>
      <c r="J10" s="352">
        <f>IF(ISNUMBER((Tasas!D10-Datos!BF10)/Datos!BF10),(Tasas!D10-Datos!BF10)/Datos!BF10," - ")</f>
        <v>0.31250000000000006</v>
      </c>
      <c r="K10" s="354">
        <f>IF(ISNUMBER((Tasas!E10-Datos!BG10)/Datos!BG10),(Tasas!E10-Datos!BG10)/Datos!BG10," - ")</f>
        <v>0.20430107526881708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-1.2396694214876033E-2</v>
      </c>
      <c r="I12" s="353">
        <f>IF(ISNUMBER((Tasas!C12-Datos!BE12)/Datos!BE12),(Tasas!C12-Datos!BE12)/Datos!BE12," - ")</f>
        <v>8.108108108108103E-2</v>
      </c>
      <c r="J12" s="352">
        <f>IF(ISNUMBER((Tasas!D12-Datos!BF12)/Datos!BF12),(Tasas!D12-Datos!BF12)/Datos!BF12," - ")</f>
        <v>-0.29228247362715803</v>
      </c>
      <c r="K12" s="354">
        <f>IF(ISNUMBER((Tasas!E12-Datos!BG12)/Datos!BG12),(Tasas!E12-Datos!BG12)/Datos!BG12," - ")</f>
        <v>3.3192896798834533E-2</v>
      </c>
      <c r="M12" t="e">
        <f>IF(Monitorios="SI",Datos!CE12,0)</f>
        <v>#REF!</v>
      </c>
      <c r="N12" t="e">
        <f>IF(Monitorios="SI",Datos!CF12,0)</f>
        <v>#REF!</v>
      </c>
      <c r="O12" t="e">
        <f>IF(Monitorios="SI",Datos!CG12,0)</f>
        <v>#REF!</v>
      </c>
      <c r="P12" t="e">
        <f>IF(Monitorios="SI",Datos!CH12,0)</f>
        <v>#REF!</v>
      </c>
      <c r="Q12">
        <f>IF(J_V="SI",0,Datos!AG12)</f>
        <v>42</v>
      </c>
      <c r="R12">
        <f>IF(J_V="SI",0,Datos!AH12)</f>
        <v>179</v>
      </c>
      <c r="S12">
        <f>IF(J_V="SI",0,Datos!AI12)</f>
        <v>185</v>
      </c>
      <c r="T12">
        <f>IF(J_V="SI",0,Datos!AJ12)</f>
        <v>34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-8.0000000000000002E-3</v>
      </c>
      <c r="I13" s="360">
        <f>IF(ISNUMBER((Tasas!C13-Datos!BE13)/Datos!BE13),(Tasas!C13-Datos!BE13)/Datos!BE13," - ")</f>
        <v>8.6741184252930009E-2</v>
      </c>
      <c r="J13" s="358">
        <f>IF(ISNUMBER((Tasas!D13-Datos!BF13)/Datos!BF13),(Tasas!D13-Datos!BF13)/Datos!BF13," - ")</f>
        <v>-0.2811226706883771</v>
      </c>
      <c r="K13" s="361">
        <f>IF(ISNUMBER((Tasas!E13-Datos!BG13)/Datos!BG13),(Tasas!E13-Datos!BG13)/Datos!BG13," - ")</f>
        <v>3.5229677579982535E-2</v>
      </c>
      <c r="M13" t="e">
        <f>IF(Monitorios="SI",Datos!CE13,0)</f>
        <v>#REF!</v>
      </c>
      <c r="N13" t="e">
        <f>IF(Monitorios="SI",Datos!CF13,0)</f>
        <v>#REF!</v>
      </c>
      <c r="O13" t="e">
        <f>IF(Monitorios="SI",Datos!CG13,0)</f>
        <v>#REF!</v>
      </c>
      <c r="P13" t="e">
        <f>IF(Monitorios="SI",Datos!CH13,0)</f>
        <v>#REF!</v>
      </c>
      <c r="Q13">
        <f>IF(J_V="SI",0,Datos!AG13)</f>
        <v>42</v>
      </c>
      <c r="R13">
        <f>IF(J_V="SI",0,Datos!AH13)</f>
        <v>179</v>
      </c>
      <c r="S13">
        <f>IF(J_V="SI",0,Datos!AI13)</f>
        <v>185</v>
      </c>
      <c r="T13">
        <f>IF(J_V="SI",0,Datos!AJ13)</f>
        <v>34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-4.0816326530612242E-2</v>
      </c>
      <c r="E16" s="351">
        <f>IF(ISNUMBER(
   IF(D_I="SI",(Datos!J16-Datos!T16)/Datos!T16,(Datos!J16+Datos!AD16-(Datos!T16+Datos!AL16))/(Datos!T16+Datos!AL16))
     ),IF(D_I="SI",(Datos!J16-Datos!T16)/Datos!T16,(Datos!J16+Datos!AD16-(Datos!T16+Datos!AL16))/(Datos!T16+Datos!AL16))," - ")</f>
        <v>0.21788079470198676</v>
      </c>
      <c r="F16" s="351">
        <f>IF(ISNUMBER(
   IF(D_I="SI",(Datos!K16-Datos!U16)/Datos!U16,(Datos!K16+Datos!AE16-(Datos!U16+Datos!AM16))/(Datos!U16+Datos!AM16))
     ),IF(D_I="SI",(Datos!K16-Datos!U16)/Datos!U16,(Datos!K16+Datos!AE16-(Datos!U16+Datos!AM16))/(Datos!U16+Datos!AM16))," - ")</f>
        <v>0.12838709677419355</v>
      </c>
      <c r="G16" s="352">
        <f>IF(ISNUMBER(
   IF(D_I="SI",(Datos!L16-Datos!V16)/Datos!V16,(Datos!L16+Datos!AF16-(Datos!V16+Datos!AN16))/(Datos!V16+Datos!AN16))
     ),IF(D_I="SI",(Datos!L16-Datos!V16)/Datos!V16,(Datos!L16+Datos!AF16-(Datos!V16+Datos!AN16))/(Datos!V16+Datos!AN16))," - ")</f>
        <v>0.40425531914893614</v>
      </c>
      <c r="H16" s="233">
        <f>IF(ISNUMBER((Datos!M16-Datos!W16)/Datos!W16),(Datos!M16-Datos!W16)/Datos!W16," - ")</f>
        <v>-0.13125000000000001</v>
      </c>
      <c r="I16" s="353">
        <f>IF(ISNUMBER((Tasas!C16-Datos!BE16)/Datos!BE16),(Tasas!C16-Datos!BE16)/Datos!BE16," - ")</f>
        <v>0.24448012846246497</v>
      </c>
      <c r="J16" s="352">
        <f>IF(ISNUMBER((Tasas!D16-Datos!BF16)/Datos!BF16),(Tasas!D16-Datos!BF16)/Datos!BF16," - ")</f>
        <v>-0.23009576901086337</v>
      </c>
      <c r="K16" s="354">
        <f>IF(ISNUMBER((Tasas!E16-Datos!BG16)/Datos!BG16),(Tasas!E16-Datos!BG16)/Datos!BG16," - ")</f>
        <v>4.7305827180040977E-2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-0.21875</v>
      </c>
      <c r="E17" s="351">
        <f>IF(ISNUMBER(
   IF(D_I="SI",(Datos!J17-Datos!T17)/Datos!T17,(Datos!J17+Datos!AD17-(Datos!T17+Datos!AL17))/(Datos!T17+Datos!AL17))
     ),IF(D_I="SI",(Datos!J17-Datos!T17)/Datos!T17,(Datos!J17+Datos!AD17-(Datos!T17+Datos!AL17))/(Datos!T17+Datos!AL17))," - ")</f>
        <v>0.7931034482758621</v>
      </c>
      <c r="F17" s="351">
        <f>IF(ISNUMBER(
   IF(D_I="SI",(Datos!K17-Datos!U17)/Datos!U17,(Datos!K17+Datos!AE17-(Datos!U17+Datos!AM17))/(Datos!U17+Datos!AM17))
     ),IF(D_I="SI",(Datos!K17-Datos!U17)/Datos!U17,(Datos!K17+Datos!AE17-(Datos!U17+Datos!AM17))/(Datos!U17+Datos!AM17))," - ")</f>
        <v>0.56382978723404253</v>
      </c>
      <c r="G17" s="352">
        <f>IF(ISNUMBER(
   IF(D_I="SI",(Datos!L17-Datos!V17)/Datos!V17,(Datos!L17+Datos!AF17-(Datos!V17+Datos!AN17))/(Datos!V17+Datos!AN17))
     ),IF(D_I="SI",(Datos!L17-Datos!V17)/Datos!V17,(Datos!L17+Datos!AF17-(Datos!V17+Datos!AN17))/(Datos!V17+Datos!AN17))," - ")</f>
        <v>0.36</v>
      </c>
      <c r="H17" s="233">
        <f>IF(ISNUMBER((Datos!M17-Datos!W17)/Datos!W17),(Datos!M17-Datos!W17)/Datos!W17," - ")</f>
        <v>0.40909090909090912</v>
      </c>
      <c r="I17" s="353">
        <f>IF(ISNUMBER((Tasas!C17-Datos!BE17)/Datos!BE17),(Tasas!C17-Datos!BE17)/Datos!BE17," - ")</f>
        <v>-0.13034013605442174</v>
      </c>
      <c r="J17" s="352">
        <f>IF(ISNUMBER((Tasas!D17-Datos!BF17)/Datos!BF17),(Tasas!D17-Datos!BF17)/Datos!BF17," - ")</f>
        <v>-9.8948670377241768E-2</v>
      </c>
      <c r="K17" s="354">
        <f>IF(ISNUMBER((Tasas!E17-Datos!BG17)/Datos!BG17),(Tasas!E17-Datos!BG17)/Datos!BG17," - ")</f>
        <v>-2.7382381524038154E-2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-6.1371841155234655E-2</v>
      </c>
      <c r="E18" s="357">
        <f>IF(ISNUMBER(
   IF(D_I="SI",(Datos!J18-Datos!T18)/Datos!T18,(Datos!J18+Datos!AD18-(Datos!T18+Datos!AL18))/(Datos!T18+Datos!AL18))
     ),IF(D_I="SI",(Datos!J18-Datos!T18)/Datos!T18,(Datos!J18+Datos!AD18-(Datos!T18+Datos!AL18))/(Datos!T18+Datos!AL18))," - ")</f>
        <v>0.24921728240450847</v>
      </c>
      <c r="F18" s="357">
        <f>IF(ISNUMBER(
   IF(D_I="SI",(Datos!K18-Datos!U18)/Datos!U18,(Datos!K18+Datos!AE18-(Datos!U18+Datos!AM18))/(Datos!U18+Datos!AM18))
     ),IF(D_I="SI",(Datos!K18-Datos!U18)/Datos!U18,(Datos!K18+Datos!AE18-(Datos!U18+Datos!AM18))/(Datos!U18+Datos!AM18))," - ")</f>
        <v>0.15328467153284672</v>
      </c>
      <c r="G18" s="358">
        <f>IF(ISNUMBER(
   IF(D_I="SI",(Datos!L18-Datos!V18)/Datos!V18,(Datos!L18+Datos!AF18-(Datos!V18+Datos!AN18))/(Datos!V18+Datos!AN18))
     ),IF(D_I="SI",(Datos!L18-Datos!V18)/Datos!V18,(Datos!L18+Datos!AF18-(Datos!V18+Datos!AN18))/(Datos!V18+Datos!AN18))," - ")</f>
        <v>0.4</v>
      </c>
      <c r="H18" s="359">
        <f>IF(ISNUMBER((Datos!M18-Datos!W18)/Datos!W18),(Datos!M18-Datos!W18)/Datos!W18," - ")</f>
        <v>-6.5934065934065936E-2</v>
      </c>
      <c r="I18" s="360">
        <f>IF(ISNUMBER((Tasas!C18-Datos!BE18)/Datos!BE18),(Tasas!C18-Datos!BE18)/Datos!BE18," - ")</f>
        <v>0.21392405063291131</v>
      </c>
      <c r="J18" s="358">
        <f>IF(ISNUMBER((Tasas!D18-Datos!BF18)/Datos!BF18),(Tasas!D18-Datos!BF18)/Datos!BF18," - ")</f>
        <v>-0.1900820698289053</v>
      </c>
      <c r="K18" s="361">
        <f>IF(ISNUMBER((Tasas!E18-Datos!BG18)/Datos!BG18),(Tasas!E18-Datos!BG18)/Datos!BG18," - ")</f>
        <v>4.3375032084622393E-2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-2.0935960591133004E-2</v>
      </c>
      <c r="E19" s="366">
        <f>IF(ISNUMBER(
   IF(J_V="SI",(Datos!J19-Datos!T19)/Datos!T19,(Datos!J19+Datos!Z19-(Datos!T19+Datos!AH19))/(Datos!T19+Datos!AH19))
     ),IF(J_V="SI",(Datos!J19-Datos!T19)/Datos!T19,(Datos!J19+Datos!Z19-(Datos!T19+Datos!AH19))/(Datos!T19+Datos!AH19))," - ")</f>
        <v>0.14977973568281938</v>
      </c>
      <c r="F19" s="366">
        <f>IF(ISNUMBER(
   IF(J_V="SI",(Datos!K19-Datos!U19)/Datos!U19,(Datos!K19+Datos!AA19-(Datos!U19+Datos!AI19))/(Datos!U19+Datos!AI19))
     ),IF(J_V="SI",(Datos!K19-Datos!U19)/Datos!U19,(Datos!K19+Datos!AA19-(Datos!U19+Datos!AI19))/(Datos!U19+Datos!AI19))," - ")</f>
        <v>7.9193664506839456E-2</v>
      </c>
      <c r="G19" s="367">
        <f>IF(ISNUMBER(
   IF(J_V="SI",(Datos!L19-Datos!V19)/Datos!V19,(Datos!L19+Datos!AB19-(Datos!V19+Datos!AJ19))/(Datos!V19+Datos!AJ19))
     ),IF(J_V="SI",(Datos!L19-Datos!V19)/Datos!V19,(Datos!L19+Datos!AB19-(Datos!V19+Datos!AJ19))/(Datos!V19+Datos!AJ19))," - ")</f>
        <v>0.16855345911949685</v>
      </c>
      <c r="H19" s="368">
        <f>IF(ISNUMBER((Datos!M19-Datos!W19)/Datos!W19),(Datos!M19-Datos!W19)/Datos!W19," - ")</f>
        <v>-3.2407407407407406E-2</v>
      </c>
      <c r="I19" s="365">
        <f>IF(ISNUMBER((Tasas!C19-Datos!BE19)/Datos!BE19),(Tasas!C19-Datos!BE19)/Datos!BE19," - ")</f>
        <v>8.2802371392248775E-2</v>
      </c>
      <c r="J19" s="366">
        <f>IF(ISNUMBER((Tasas!D19-Datos!BF19)/Datos!BF19),(Tasas!D19-Datos!BF19)/Datos!BF19," - ")</f>
        <v>-0.27872212760089599</v>
      </c>
      <c r="K19" s="367">
        <f>IF(ISNUMBER((Tasas!E19-Datos!BG19)/Datos!BG19),(Tasas!E19-Datos!BG19)/Datos!BG19," - ")</f>
        <v>2.9080284292092178E-2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0.27362027375547782</v>
      </c>
      <c r="E21" s="281">
        <f t="shared" si="1"/>
        <v>0.41128303006062383</v>
      </c>
      <c r="F21" s="281">
        <f t="shared" si="1"/>
        <v>0.29147003088581902</v>
      </c>
      <c r="G21" s="282">
        <f t="shared" si="1"/>
        <v>0.10766884707209416</v>
      </c>
      <c r="H21" s="288">
        <f t="shared" si="1"/>
        <v>0.19394610991114877</v>
      </c>
      <c r="I21" s="280">
        <f t="shared" si="1"/>
        <v>0.17304154260549243</v>
      </c>
      <c r="J21" s="281">
        <f t="shared" si="1"/>
        <v>0.22784780702727367</v>
      </c>
      <c r="K21" s="282">
        <f t="shared" si="1"/>
        <v>7.7630379489799964E-2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yLh76XLMZAX7UdzYKmdEm84XlphVPaQ6Ms/pf8C3P1rCytFoQNzD1g9tCalbKXmphNU0UioEMU7IMDFWZAPlA==" saltValue="5zj99mc7/5Zen6OwXFXj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